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0" yWindow="1380" windowWidth="15135" windowHeight="7335" tabRatio="921"/>
  </bookViews>
  <sheets>
    <sheet name="РАСХОДОМЕР_US-800" sheetId="45" r:id="rId1"/>
    <sheet name="КОМПЛЕКТУЮЩ_US800-1Х,2Х,3Х " sheetId="31" r:id="rId2"/>
    <sheet name="УПР_и_ДАТЧИКИ ПЭП" sheetId="29" r:id="rId3"/>
    <sheet name="ТЕПЛОСЧЕТЧИК_ЭНКОНТ" sheetId="27" r:id="rId4"/>
    <sheet name="КОМПЛЕКТУЮЩ_ЭНКОНТ" sheetId="38" r:id="rId5"/>
    <sheet name="3" sheetId="42" state="hidden" r:id="rId6"/>
    <sheet name="2" sheetId="43" r:id="rId7"/>
  </sheets>
  <definedNames>
    <definedName name="_ip68">'2'!$F$74</definedName>
    <definedName name="_КСС2Э">'2'!$F$75</definedName>
    <definedName name="_КСС4Э">'2'!$F$76</definedName>
    <definedName name="_нестанд">'2'!$F$77</definedName>
    <definedName name="_ПМЗ">'2'!$F$73</definedName>
    <definedName name="GPRS_терм">'2'!$L$63</definedName>
    <definedName name="АС801">'2'!$L$69</definedName>
    <definedName name="АС803">'2'!$L$70</definedName>
    <definedName name="АС805">'2'!$L$71</definedName>
    <definedName name="БИ">'2'!$B$115:$B$116</definedName>
    <definedName name="БИ_номер">'2'!$A$115:$A$116</definedName>
    <definedName name="БИ_цена">'2'!$C$115:$C$116</definedName>
    <definedName name="БИ40">'2'!$F$57</definedName>
    <definedName name="БИ42">'2'!$F$58</definedName>
    <definedName name="выхЭБ">'2'!$B$238:$B$241</definedName>
    <definedName name="выхЭБ_цена">'2'!$C$238:$C$241</definedName>
    <definedName name="габ_100">'2'!$O$10</definedName>
    <definedName name="габ_1000">'2'!$O$22</definedName>
    <definedName name="габ_1200">'2'!$O$23</definedName>
    <definedName name="габ_1400">'2'!$O$24</definedName>
    <definedName name="габ_15">'2'!$O$3</definedName>
    <definedName name="габ_150">'2'!$O$11</definedName>
    <definedName name="габ_200">'2'!$O$12</definedName>
    <definedName name="габ_25">'2'!$O$4</definedName>
    <definedName name="габ_250">'2'!$O$13</definedName>
    <definedName name="габ_300">'2'!$O$14</definedName>
    <definedName name="габ_32">'2'!$O$5</definedName>
    <definedName name="габ_350">'2'!$O$15</definedName>
    <definedName name="габ_40">'2'!$O$6</definedName>
    <definedName name="габ_400">'2'!$O$16</definedName>
    <definedName name="габ_50">'2'!$O$7</definedName>
    <definedName name="габ_500">'2'!$O$17</definedName>
    <definedName name="габ_600">'2'!$O$18</definedName>
    <definedName name="габ_65">'2'!$O$8</definedName>
    <definedName name="габ_700">'2'!$O$19</definedName>
    <definedName name="габ_80">'2'!$O$9</definedName>
    <definedName name="габ_800">'2'!$O$20</definedName>
    <definedName name="габ_900">'2'!$O$21</definedName>
    <definedName name="жидк">'2'!$B$230:$B$233</definedName>
    <definedName name="жидк_номер">'2'!$A$230:$A$233</definedName>
    <definedName name="жидк_цена">'2'!$C$230:$C$233</definedName>
    <definedName name="ИБ2">'2'!$I$57</definedName>
    <definedName name="ИБ4">'2'!$I$58</definedName>
    <definedName name="КММ">'2'!$L$45</definedName>
    <definedName name="КМЧ800_1">'2'!$I$40</definedName>
    <definedName name="КМЧ800_1гильз">'2'!$I$44</definedName>
    <definedName name="КМЧ800_1нерж">'2'!$I$42</definedName>
    <definedName name="КМЧ800_1с">'2'!$C$98</definedName>
    <definedName name="КМЧ800_1ШК">'2'!$I$46</definedName>
    <definedName name="КМЧ800_2">'2'!$I$41</definedName>
    <definedName name="КМЧ800_2гильз">'2'!$I$45</definedName>
    <definedName name="КМЧ800_2нерж">'2'!$I$43</definedName>
    <definedName name="КМЧ800_2с">'2'!$C$99</definedName>
    <definedName name="КМЧ800_2ШК">'2'!$I$47</definedName>
    <definedName name="КОМПЛЭНК" localSheetId="5">'3'!#REF!</definedName>
    <definedName name="КОМПЛЭНК" localSheetId="4">КОМПЛЕКТУЮЩ_ЭНКОНТ!#REF!</definedName>
    <definedName name="Конверт_Ethernet">'2'!$L$59</definedName>
    <definedName name="Конверт_RS232">'2'!$L$58</definedName>
    <definedName name="Конверт_USB">'2'!$L$57</definedName>
    <definedName name="КОФ_100">'2'!$I$10</definedName>
    <definedName name="КОФ_1000">'2'!$I$22</definedName>
    <definedName name="КОФ_1200">'2'!$I$23</definedName>
    <definedName name="КОФ_1400">'2'!$I$24</definedName>
    <definedName name="КОФ_15">'2'!$I$3</definedName>
    <definedName name="КОФ_150">'2'!$I$11</definedName>
    <definedName name="КОФ_200">'2'!$I$12</definedName>
    <definedName name="КОФ_25">'2'!$I$4</definedName>
    <definedName name="КОФ_250">'2'!$I$13</definedName>
    <definedName name="КОФ_300">'2'!$I$14</definedName>
    <definedName name="КОФ_32">'2'!$I$5</definedName>
    <definedName name="КОФ_350">'2'!$I$15</definedName>
    <definedName name="КОФ_40">'2'!$I$6</definedName>
    <definedName name="КОФ_400">'2'!$I$16</definedName>
    <definedName name="КОФ_50">'2'!$I$7</definedName>
    <definedName name="КОФ_500">'2'!$I$17</definedName>
    <definedName name="КОФ_600">'2'!$I$18</definedName>
    <definedName name="КОФ_65">'2'!$I$8</definedName>
    <definedName name="КОФ_700">'2'!$I$19</definedName>
    <definedName name="КОФ_80">'2'!$I$9</definedName>
    <definedName name="КОФ_800">'2'!$I$20</definedName>
    <definedName name="КОФ_900">'2'!$I$21</definedName>
    <definedName name="КСС2Э">'2'!$L$49</definedName>
    <definedName name="КСС4Э">'2'!$L$50</definedName>
    <definedName name="КУФ_БИ">'2'!$F$66</definedName>
    <definedName name="Кювета">'2'!$L$68</definedName>
    <definedName name="Модем_RS232">'2'!$L$63</definedName>
    <definedName name="Модем_RS485">'2'!$L$62</definedName>
    <definedName name="Модем_USB">'2'!$L$64</definedName>
    <definedName name="Нетбук">'2'!$L$61</definedName>
    <definedName name="номер_УПР1">'2'!$E$91:$E$92</definedName>
    <definedName name="номер_УПР2">'2'!$E$95:$E$96</definedName>
    <definedName name="номер_ЭБ1">'2'!$A$91:$A$94</definedName>
    <definedName name="номер_ЭБ2">'2'!$A$102:$A$103</definedName>
    <definedName name="номер_ЭБ3">'2'!$A$109:$A$110</definedName>
    <definedName name="_xlnm.Print_Area" localSheetId="6">'2'!$A$1:$L$114</definedName>
    <definedName name="_xlnm.Print_Area" localSheetId="5">'3'!$A$1:$N$177</definedName>
    <definedName name="_xlnm.Print_Area" localSheetId="1">'КОМПЛЕКТУЮЩ_US800-1Х,2Х,3Х '!$A$1:$N$146</definedName>
    <definedName name="_xlnm.Print_Area" localSheetId="4">КОМПЛЕКТУЮЩ_ЭНКОНТ!$A$1:$N$122</definedName>
    <definedName name="_xlnm.Print_Area" localSheetId="0">'РАСХОДОМЕР_US-800'!$A$1:$K$145</definedName>
    <definedName name="_xlnm.Print_Area" localSheetId="3">ТЕПЛОСЧЕТЧИК_ЭНКОНТ!$A$1:$K$142</definedName>
    <definedName name="_xlnm.Print_Area" localSheetId="2">'УПР_и_ДАТЧИКИ ПЭП'!$A$1:$N$344</definedName>
    <definedName name="опИБ">'2'!$B$223:$B$226</definedName>
    <definedName name="опИБ_номер">'2'!$A$223:$A$226</definedName>
    <definedName name="опИБ_цена">'2'!$C$223:$C$226</definedName>
    <definedName name="Опц_1236В">'2'!$C$73</definedName>
    <definedName name="Опц_200">'2'!$I$30</definedName>
    <definedName name="Опц_200_68">'2'!$I$49</definedName>
    <definedName name="Опц_200_IP68">'2'!$I$49</definedName>
    <definedName name="Опц_220">'2'!$I$50</definedName>
    <definedName name="Опц_24ИБП">'2'!$C$74</definedName>
    <definedName name="Опц_42">'2'!$C$82</definedName>
    <definedName name="Опц_42_ИБ">'2'!$I$62</definedName>
    <definedName name="Опц_42RS485">'2'!$C$84</definedName>
    <definedName name="Опц_42реверс">'2'!$C$77</definedName>
    <definedName name="Опц_IP68">'2'!$I$27</definedName>
    <definedName name="Опц_IP68У">'2'!$I$29</definedName>
    <definedName name="Опц_IP68Ф">'2'!$I$38</definedName>
    <definedName name="Опц_RS485">'2'!$C$83</definedName>
    <definedName name="Опц_USB">'2'!$C$86</definedName>
    <definedName name="Опц_вх42">'2'!$C$76</definedName>
    <definedName name="Опц_гильзПЭП">'2'!$I$34</definedName>
    <definedName name="Опц_давлен">'2'!$I$35</definedName>
    <definedName name="Опц_дозир">'2'!$C$79</definedName>
    <definedName name="Опц_ИБП_БИ">'2'!$F$61</definedName>
    <definedName name="Опц_ИБП_ИБ">'2'!$I$60</definedName>
    <definedName name="Опц_ИБП_ЭБ">'2'!$C$72</definedName>
    <definedName name="Опц_нестандарт">'2'!$I$36</definedName>
    <definedName name="Опц_ПМЗ">'2'!$I$51</definedName>
    <definedName name="Опц_ПМЗ1">'2'!$I$51</definedName>
    <definedName name="Опц_ПМЗ2">'2'!$I$52</definedName>
    <definedName name="Опц_поверкаR">'2'!$I$37</definedName>
    <definedName name="Опц_повыш">'2'!$C$81</definedName>
    <definedName name="Опц_пониж">'2'!$C$80</definedName>
    <definedName name="Опц_ПП212">'2'!$I$32</definedName>
    <definedName name="Опц_ПП212_68">'2'!$I$48</definedName>
    <definedName name="Опц_ПЭПУ">'2'!$I$28</definedName>
    <definedName name="Опц_ПЭПФ">'2'!$I$31</definedName>
    <definedName name="Опц_УВС">'2'!$C$75</definedName>
    <definedName name="Опц_УВС1">'2'!$C$85</definedName>
    <definedName name="Опц_ЧИ_ИБ">'2'!$I$61</definedName>
    <definedName name="Опц_ЧИ42_ИБ">'2'!$I$63</definedName>
    <definedName name="Опц_Чиреверс">'2'!$C$78</definedName>
    <definedName name="Опц_ШК">'2'!$I$33</definedName>
    <definedName name="опцУПР1">'2'!$B$261:$B$270</definedName>
    <definedName name="опцУПР1_номер">'2'!$A$261:$A$270</definedName>
    <definedName name="опцУПР1_цена">'2'!$C$261:$C$270</definedName>
    <definedName name="опцЭБ1_номер">'2'!$A$261:$A$270</definedName>
    <definedName name="ПВС1">'2'!$L$47</definedName>
    <definedName name="ПВС2">'2'!$L$48</definedName>
    <definedName name="ПД">'2'!$I$67</definedName>
    <definedName name="ПД_асс">'2'!$B$215:$B$219</definedName>
    <definedName name="ПД_колво">'2'!$C$215:$C$219</definedName>
    <definedName name="ПД_номер">'2'!$A$215:$A$219</definedName>
    <definedName name="ПД_цена">'2'!$C$215:$C$219</definedName>
    <definedName name="ПМЗ">'2'!$F$73</definedName>
    <definedName name="по_запросу">'2'!$C$29</definedName>
    <definedName name="ПП212">'2'!$L$35</definedName>
    <definedName name="ПП212_68">'2'!$L$51</definedName>
    <definedName name="ПЭП3_200">'2'!$L$36</definedName>
    <definedName name="ПЭП3_200_68">'2'!$L$52</definedName>
    <definedName name="ПЭП3_220">'2'!$L$41</definedName>
    <definedName name="ПЭП34">'2'!$L$27</definedName>
    <definedName name="ПЭП34IP68">'2'!$L$31</definedName>
    <definedName name="ПЭП34IP68У">'2'!$L$33</definedName>
    <definedName name="ПЭП34с">'2'!$C$97</definedName>
    <definedName name="ПЭП34У">'2'!$L$29</definedName>
    <definedName name="ПЭП3Ф">'2'!$L$38</definedName>
    <definedName name="ПЭП3ФIP68">'2'!$L$40</definedName>
    <definedName name="ПЭП6_200">'2'!$L$37</definedName>
    <definedName name="ПЭП6_200_68">'2'!$L$53</definedName>
    <definedName name="ПЭП6_220">'2'!$L$42</definedName>
    <definedName name="ПЭП64">'2'!$L$28</definedName>
    <definedName name="ПЭП64IP68">'2'!$L$32</definedName>
    <definedName name="ПЭП64IP68У">'2'!$L$34</definedName>
    <definedName name="ПЭП64У">'2'!$L$30</definedName>
    <definedName name="ПЭП6Ф">'2'!$L$39</definedName>
    <definedName name="Репит_RS485">'2'!$L$60</definedName>
    <definedName name="РК">'2'!$B$164:$B$167</definedName>
    <definedName name="РК_БИ">'2'!$F$63</definedName>
    <definedName name="РК_колво">'2'!$C$164:$C$167</definedName>
    <definedName name="РК_номер">'2'!$A$164:$A$167</definedName>
    <definedName name="РК_цена">'2'!$C$164:$C$167</definedName>
    <definedName name="РК50">'2'!$L$44</definedName>
    <definedName name="список_УПР1">'2'!$F$91:$F$92</definedName>
    <definedName name="список_УПР2">'2'!$F$95:$F$96</definedName>
    <definedName name="список_ЭБ1">'2'!$B$91:$B$92</definedName>
    <definedName name="список_ЭБ2">'2'!$B$102:$B$103</definedName>
    <definedName name="список_ЭБ3">'2'!$B$109:$B$110</definedName>
    <definedName name="ТС">'2'!$B$210:$B$211</definedName>
    <definedName name="ТС_асс">'2'!$B$210:$B$211</definedName>
    <definedName name="ТС_номер">'2'!$A$210:$A$211</definedName>
    <definedName name="ТС1">'2'!$I$65</definedName>
    <definedName name="ТС1_цена">'2'!$C$210:$C$211</definedName>
    <definedName name="ТС2">'2'!$I$66</definedName>
    <definedName name="УПР_015РГ1">'2'!$C$3</definedName>
    <definedName name="УПР_015ФГ1">'2'!$C$5</definedName>
    <definedName name="УПР_025РГ1">'2'!$C$4</definedName>
    <definedName name="УПР_025ФГ1">'2'!$C$6</definedName>
    <definedName name="УПР_032РГ1">'2'!$C$45</definedName>
    <definedName name="УПР_032ФГ1">'2'!$C$7</definedName>
    <definedName name="УПР_040ФГ1">'2'!$C$8</definedName>
    <definedName name="УПР_050ФГ1">'2'!$C$9</definedName>
    <definedName name="УПР_050ФГ2">'2'!$F$3</definedName>
    <definedName name="УПР_065ФГ1">'2'!$C$10</definedName>
    <definedName name="УПР_065ФГ2">'2'!$F$4</definedName>
    <definedName name="УПР_080ФГ1">'2'!$C$11</definedName>
    <definedName name="УПР_080ФГ2">'2'!$F$5</definedName>
    <definedName name="УПР_1000БФСТ1">'2'!$C$42</definedName>
    <definedName name="УПР_1000БФСТ2">'2'!$F$36</definedName>
    <definedName name="УПР_1000ФГ1">'2'!$C$47</definedName>
    <definedName name="УПР_1000ФГ2">'2'!$F$40</definedName>
    <definedName name="УПР_1000ФСТ1">'2'!$C$28</definedName>
    <definedName name="УПР_1000ФСТ2">'2'!$F$22</definedName>
    <definedName name="УПР_100ФГ1">'2'!$C$12</definedName>
    <definedName name="УПР_100ФГ2">'2'!$F$6</definedName>
    <definedName name="УПР_1200БФСТ1">'2'!$C$43</definedName>
    <definedName name="УПР_1200БФСТ2">'2'!$F$37</definedName>
    <definedName name="УПР_1200ФСТ1">'2'!$C$29</definedName>
    <definedName name="УПР_1200ФСТ2">'2'!$F$23</definedName>
    <definedName name="УПР_1400БФСТ1">'2'!$C$44</definedName>
    <definedName name="УПР_1400БФСТ2">'2'!$F$38</definedName>
    <definedName name="УПР_1400ФСТ1">'2'!$C$30</definedName>
    <definedName name="УПР_1400ФСТ2">'2'!$F$24</definedName>
    <definedName name="УПР_150БФСТ1">'2'!$C$31</definedName>
    <definedName name="УПР_150БФСТ2">'2'!$F$25</definedName>
    <definedName name="УПР_150ФГ1">'2'!$C$13</definedName>
    <definedName name="УПР_150ФГ2">'2'!$F$7</definedName>
    <definedName name="УПР_150ФСТ1">'2'!$C$17</definedName>
    <definedName name="УПР_150ФСТ2">'2'!$F$11</definedName>
    <definedName name="УПР_200БФСТ1">'2'!$C$32</definedName>
    <definedName name="УПР_200БФСТ2">'2'!$F$26</definedName>
    <definedName name="УПР_200ФГ1">'2'!$C$14</definedName>
    <definedName name="УПР_200ФГ2">'2'!$F$8</definedName>
    <definedName name="УПР_200ФСТ1">'2'!$C$18</definedName>
    <definedName name="УПР_200ФСТ2">'2'!$F$12</definedName>
    <definedName name="УПР_250БФСТ1">'2'!$C$33</definedName>
    <definedName name="УПР_250БФСТ2">'2'!$F$27</definedName>
    <definedName name="УПР_250ФГ1">'2'!$C$15</definedName>
    <definedName name="УПР_250ФГ2">'2'!$F$9</definedName>
    <definedName name="УПР_250ФСТ1">'2'!$C$19</definedName>
    <definedName name="УПР_250ФСТ2">'2'!$F$13</definedName>
    <definedName name="УПР_300БФСТ1">'2'!$C$34</definedName>
    <definedName name="УПР_300БФСТ2">'2'!$F$28</definedName>
    <definedName name="УПР_300ФГ1">'2'!$C$16</definedName>
    <definedName name="УПР_300ФГ2">'2'!$F$10</definedName>
    <definedName name="УПР_300ФСТ1">'2'!$C$20</definedName>
    <definedName name="УПР_300ФСТ2">'2'!$F$14</definedName>
    <definedName name="УПР_350БФСТ1">'2'!$C$35</definedName>
    <definedName name="УПР_350БФСТ2">'2'!$F$29</definedName>
    <definedName name="УПР_350ФСТ1">'2'!$C$21</definedName>
    <definedName name="УПР_350ФСТ2">'2'!$F$15</definedName>
    <definedName name="УПР_400БФСТ1">'2'!$C$36</definedName>
    <definedName name="УПР_400БФСТ2">'2'!$F$30</definedName>
    <definedName name="УПР_400ФСТ1">'2'!$C$22</definedName>
    <definedName name="УПР_400ФСТ2">'2'!$F$16</definedName>
    <definedName name="УПР_500БФСТ1">'2'!$C$37</definedName>
    <definedName name="УПР_500БФСТ2">'2'!$F$31</definedName>
    <definedName name="УПР_500ФСТ1">'2'!$C$23</definedName>
    <definedName name="УПР_500ФСТ2">'2'!$F$17</definedName>
    <definedName name="УПР_600БФСТ1">'2'!$C$38</definedName>
    <definedName name="УПР_600БФСТ2">'2'!$F$32</definedName>
    <definedName name="УПР_600ФСТ1">'2'!$C$24</definedName>
    <definedName name="УПР_600ФСТ2">'2'!$F$18</definedName>
    <definedName name="УПР_700БФСТ1">'2'!$C$39</definedName>
    <definedName name="УПР_700БФСТ2">'2'!$F$33</definedName>
    <definedName name="УПР_700ФСТ1">'2'!$C$25</definedName>
    <definedName name="УПР_700ФСТ2">'2'!$F$19</definedName>
    <definedName name="УПР_800БФСТ1">'2'!$C$40</definedName>
    <definedName name="УПР_800БФСТ2">'2'!$F$34</definedName>
    <definedName name="УПР_800ФСТ1">'2'!$C$26</definedName>
    <definedName name="УПР_800ФСТ2">'2'!$F$20</definedName>
    <definedName name="УПР_900БФСТ1">'2'!$C$41</definedName>
    <definedName name="УПР_900БФСТ2">'2'!$F$35</definedName>
    <definedName name="УПР_900ФСТ1">'2'!$C$27</definedName>
    <definedName name="УПР_900ФСТ2">'2'!$F$21</definedName>
    <definedName name="упр_двухлуч1">'2'!$B$169:$B$205</definedName>
    <definedName name="упр_двухлуч1_номер">'2'!$A$169:$A$205</definedName>
    <definedName name="упр_двухлуч1_номер2">'2'!$G$169:$G$205</definedName>
    <definedName name="упр_двухлуч1_цена">'2'!$C$169:$C$205</definedName>
    <definedName name="упр_однолуч1">'2'!$B$119:$B$161</definedName>
    <definedName name="упр_однолуч1_номер">'2'!$A$119:$A$161</definedName>
    <definedName name="упр_однолуч1_номер2">'2'!$G$119:$G$161</definedName>
    <definedName name="упр_однолуч1_цена">'2'!$C$119:$C$161</definedName>
    <definedName name="УФ1_БИ">'2'!$F$64</definedName>
    <definedName name="УФ2_БИ">'2'!$F$65</definedName>
    <definedName name="фл_упр_двухлуч1_цена">'2'!$E$169:$E$205</definedName>
    <definedName name="фл_упр_однолуч1_цена">'2'!$E$119:$E$161</definedName>
    <definedName name="ФУТП">'2'!$L$46</definedName>
    <definedName name="цена_ЭБ1">'2'!$C$91:$C$92</definedName>
    <definedName name="Цена_ЭБ2">'2'!$C$102:$C$103</definedName>
    <definedName name="Цена_ЭБ3">'2'!$C$109:$C$110</definedName>
    <definedName name="ЧИ_ИБ">'2'!$I$61</definedName>
    <definedName name="Шкаф_необогр">'2'!$L$65</definedName>
    <definedName name="Шкаф_обогр">'2'!$L$66</definedName>
    <definedName name="ЭБ10">'2'!$C$57</definedName>
    <definedName name="ЭБ11">'2'!$C$58</definedName>
    <definedName name="ЭБ12">'2'!$C$59</definedName>
    <definedName name="ЭБ13">'2'!$C$60</definedName>
    <definedName name="ЭБ20">'2'!$C$61</definedName>
    <definedName name="ЭБ21">'2'!$C$62</definedName>
    <definedName name="ЭБ22">'2'!$C$63</definedName>
    <definedName name="ЭБ23">'2'!$C$64</definedName>
    <definedName name="ЭБ30">'2'!$C$65</definedName>
    <definedName name="ЭБ31">'2'!$C$66</definedName>
    <definedName name="ЭБ32">'2'!$C$67</definedName>
    <definedName name="ЭБ33">'2'!$C$68</definedName>
    <definedName name="Эбр_исп">'2'!$C$245:$C$256</definedName>
    <definedName name="Эбр_номер">'2'!$A$245:$A$256</definedName>
    <definedName name="Эбр_номер1">'2'!$D$245:$D$256</definedName>
    <definedName name="Эбр_цен">'2'!$B$245:$B$256</definedName>
    <definedName name="Эбр_цена">'2'!$B$245:$B$256</definedName>
    <definedName name="энк1" localSheetId="5">'3'!#REF!</definedName>
    <definedName name="энк1" localSheetId="4">КОМПЛЕКТУЮЩ_ЭНКОНТ!#REF!</definedName>
    <definedName name="энк2" localSheetId="5">'3'!#REF!</definedName>
    <definedName name="энк2" localSheetId="4">КОМПЛЕКТУЮЩ_ЭНКОНТ!#REF!</definedName>
    <definedName name="ЭНКОНТ" localSheetId="5">'3'!#REF!</definedName>
    <definedName name="ЭНКОНТ" localSheetId="4">КОМПЛЕКТУЮЩ_ЭНКОНТ!#REF!</definedName>
    <definedName name="ящ_100">'2'!$L$10</definedName>
    <definedName name="ящ_1000">'2'!$L$22</definedName>
    <definedName name="ящ_1200">'2'!$L$23</definedName>
    <definedName name="ящ_1400">'2'!$L$24</definedName>
    <definedName name="ящ_15">'2'!$L$3</definedName>
    <definedName name="ящ_150">'2'!$L$11</definedName>
    <definedName name="ящ_200">'2'!$L$12</definedName>
    <definedName name="ящ_25">'2'!$L$4</definedName>
    <definedName name="ящ_250">'2'!$L$13</definedName>
    <definedName name="ящ_300">'2'!$L$14</definedName>
    <definedName name="ящ_32">'2'!$L$5</definedName>
    <definedName name="ящ_350">'2'!$L$15</definedName>
    <definedName name="ящ_40">'2'!$L$6</definedName>
    <definedName name="ящ_400">'2'!$L$16</definedName>
    <definedName name="ящ_50">'2'!$L$7</definedName>
    <definedName name="ящ_500">'2'!$L$17</definedName>
    <definedName name="ящ_600">'2'!$L$18</definedName>
    <definedName name="ящ_65">'2'!$L$8</definedName>
    <definedName name="ящ_700">'2'!$L$19</definedName>
    <definedName name="ящ_80">'2'!$L$9</definedName>
    <definedName name="ящ_800">'2'!$L$20</definedName>
    <definedName name="ящ_900">'2'!$L$21</definedName>
    <definedName name="ящ_упр_двухлуч1_цена">'2'!$F$169:$F$205</definedName>
    <definedName name="ящ_упр_однолуч1_цена">'2'!$F$119:$F$161</definedName>
  </definedNames>
  <calcPr calcId="144525"/>
  <customWorkbookViews>
    <customWorkbookView name="User - Личное представление" guid="{688C9492-FD96-4B22-BBBF-DA5B55B71F80}" mergeInterval="0" personalView="1" maximized="1" windowWidth="1276" windowHeight="885" tabRatio="653" activeSheetId="2"/>
  </customWorkbookViews>
  <fileRecoveryPr autoRecover="0"/>
</workbook>
</file>

<file path=xl/calcChain.xml><?xml version="1.0" encoding="utf-8"?>
<calcChain xmlns="http://schemas.openxmlformats.org/spreadsheetml/2006/main">
  <c r="G84" i="45" l="1"/>
  <c r="G83" i="45"/>
  <c r="G82" i="45"/>
  <c r="E82" i="45"/>
  <c r="E83" i="45"/>
  <c r="C82" i="45"/>
  <c r="C83" i="45"/>
  <c r="C84" i="45"/>
  <c r="D198" i="29"/>
  <c r="D108" i="29"/>
  <c r="D99" i="31"/>
  <c r="E84" i="45"/>
  <c r="H36" i="45"/>
  <c r="F36" i="45"/>
  <c r="F49" i="45" s="1"/>
  <c r="D36" i="45"/>
  <c r="H37" i="45"/>
  <c r="H40" i="45" s="1"/>
  <c r="F37" i="45"/>
  <c r="F40" i="45"/>
  <c r="D100" i="31"/>
  <c r="D37" i="45"/>
  <c r="D40" i="45" s="1"/>
  <c r="D119" i="45"/>
  <c r="D118" i="45"/>
  <c r="D117" i="45"/>
  <c r="D104" i="45"/>
  <c r="D43" i="27"/>
  <c r="D44" i="27"/>
  <c r="C59" i="27" s="1"/>
  <c r="F38" i="45"/>
  <c r="F39" i="45"/>
  <c r="H39" i="45"/>
  <c r="H38" i="45"/>
  <c r="L59" i="27"/>
  <c r="K59" i="27"/>
  <c r="H43" i="27"/>
  <c r="H44" i="27" s="1"/>
  <c r="L74" i="27"/>
  <c r="K74" i="27"/>
  <c r="L75" i="27"/>
  <c r="K75" i="27"/>
  <c r="K69" i="45"/>
  <c r="K68" i="45"/>
  <c r="L69" i="45"/>
  <c r="K74" i="45"/>
  <c r="K75" i="45"/>
  <c r="K76" i="45"/>
  <c r="K77" i="45"/>
  <c r="K78" i="45"/>
  <c r="K79" i="45"/>
  <c r="K80" i="45"/>
  <c r="K81" i="45"/>
  <c r="D155" i="29"/>
  <c r="D154" i="29"/>
  <c r="D153" i="29"/>
  <c r="D152" i="29"/>
  <c r="D151" i="29"/>
  <c r="D150" i="29"/>
  <c r="D149" i="29"/>
  <c r="D148" i="29"/>
  <c r="N155" i="29"/>
  <c r="N154" i="29"/>
  <c r="N153" i="29"/>
  <c r="N152" i="29"/>
  <c r="N151" i="29"/>
  <c r="N150" i="29"/>
  <c r="N149" i="29"/>
  <c r="N148" i="29"/>
  <c r="N147" i="29"/>
  <c r="D147" i="29"/>
  <c r="K73" i="45"/>
  <c r="K72" i="45"/>
  <c r="K71" i="45"/>
  <c r="K70" i="45"/>
  <c r="K65" i="45"/>
  <c r="D39" i="45"/>
  <c r="D38" i="45"/>
  <c r="K66" i="45"/>
  <c r="K64" i="45"/>
  <c r="K63" i="45"/>
  <c r="K62" i="45"/>
  <c r="K61" i="45"/>
  <c r="K60" i="45"/>
  <c r="K59" i="45"/>
  <c r="K58" i="45"/>
  <c r="K57" i="45"/>
  <c r="K56" i="45"/>
  <c r="K55" i="45"/>
  <c r="K54" i="45"/>
  <c r="K53" i="45"/>
  <c r="K52" i="45"/>
  <c r="K51" i="45"/>
  <c r="A100" i="45"/>
  <c r="D144" i="45"/>
  <c r="D143" i="45"/>
  <c r="D142" i="45"/>
  <c r="D141" i="45"/>
  <c r="D140" i="45"/>
  <c r="D139" i="45"/>
  <c r="D138" i="45"/>
  <c r="D137" i="45"/>
  <c r="D136" i="45"/>
  <c r="D132" i="45"/>
  <c r="D131" i="45"/>
  <c r="D130" i="45"/>
  <c r="D129" i="45"/>
  <c r="D128" i="45"/>
  <c r="D127" i="45"/>
  <c r="D126" i="45"/>
  <c r="D125" i="45"/>
  <c r="D124" i="45"/>
  <c r="D123" i="45"/>
  <c r="D122" i="45"/>
  <c r="D121" i="45"/>
  <c r="D116" i="45"/>
  <c r="D115" i="45"/>
  <c r="D114" i="45"/>
  <c r="D113" i="45"/>
  <c r="D112" i="45"/>
  <c r="D111" i="45"/>
  <c r="D105" i="45"/>
  <c r="D103" i="45"/>
  <c r="L86" i="45"/>
  <c r="L84" i="45"/>
  <c r="K84" i="45"/>
  <c r="L83" i="45"/>
  <c r="K83" i="45"/>
  <c r="H83" i="45"/>
  <c r="F83" i="45"/>
  <c r="D83" i="45"/>
  <c r="L82" i="45"/>
  <c r="K82" i="45"/>
  <c r="H82" i="45"/>
  <c r="F82" i="45"/>
  <c r="D82" i="45"/>
  <c r="L81" i="45"/>
  <c r="L80" i="45"/>
  <c r="L79" i="45"/>
  <c r="L78" i="45"/>
  <c r="L77" i="45"/>
  <c r="L76" i="45"/>
  <c r="L75" i="45"/>
  <c r="L74" i="45"/>
  <c r="L73" i="45"/>
  <c r="L72" i="45"/>
  <c r="L71" i="45"/>
  <c r="L70" i="45"/>
  <c r="L68" i="45"/>
  <c r="L66" i="45"/>
  <c r="L65" i="45"/>
  <c r="L64" i="45"/>
  <c r="L63" i="45"/>
  <c r="L62" i="45"/>
  <c r="L61" i="45"/>
  <c r="L60" i="45"/>
  <c r="L59" i="45"/>
  <c r="L58" i="45"/>
  <c r="L57" i="45"/>
  <c r="L56" i="45"/>
  <c r="L55" i="45"/>
  <c r="L54" i="45"/>
  <c r="L53" i="45"/>
  <c r="L52" i="45"/>
  <c r="L51" i="45"/>
  <c r="E90" i="27"/>
  <c r="E89" i="27"/>
  <c r="E88" i="27"/>
  <c r="G90" i="27"/>
  <c r="G89" i="27"/>
  <c r="G88" i="27"/>
  <c r="D89" i="27"/>
  <c r="C89" i="27"/>
  <c r="C90" i="27"/>
  <c r="C88" i="27"/>
  <c r="L89" i="27"/>
  <c r="K89" i="27"/>
  <c r="H89" i="27"/>
  <c r="F89" i="27"/>
  <c r="K76" i="27"/>
  <c r="L76" i="27"/>
  <c r="L67" i="27"/>
  <c r="K67" i="27"/>
  <c r="L68" i="27"/>
  <c r="K68" i="27"/>
  <c r="D139" i="31"/>
  <c r="D137" i="31"/>
  <c r="I309" i="29"/>
  <c r="D319" i="29"/>
  <c r="D320" i="29"/>
  <c r="D311" i="29"/>
  <c r="D312" i="29"/>
  <c r="D313" i="29"/>
  <c r="D314" i="29"/>
  <c r="D315" i="29"/>
  <c r="D316" i="29"/>
  <c r="D317" i="29"/>
  <c r="D318" i="29"/>
  <c r="I310" i="29"/>
  <c r="I311" i="29"/>
  <c r="I312" i="29"/>
  <c r="I313" i="29"/>
  <c r="I314" i="29"/>
  <c r="I315" i="29"/>
  <c r="I316" i="29"/>
  <c r="I317" i="29"/>
  <c r="I318" i="29"/>
  <c r="I338" i="29"/>
  <c r="I337" i="29"/>
  <c r="I336" i="29"/>
  <c r="I335" i="29"/>
  <c r="I334" i="29"/>
  <c r="I333" i="29"/>
  <c r="I332" i="29"/>
  <c r="I331" i="29"/>
  <c r="I330" i="29"/>
  <c r="I329" i="29"/>
  <c r="I328" i="29"/>
  <c r="I327" i="29"/>
  <c r="D338" i="29"/>
  <c r="D337" i="29"/>
  <c r="D336" i="29"/>
  <c r="D335" i="29"/>
  <c r="D334" i="29"/>
  <c r="D333" i="29"/>
  <c r="D332" i="29"/>
  <c r="D331" i="29"/>
  <c r="D330" i="29"/>
  <c r="D329" i="29"/>
  <c r="D328" i="29"/>
  <c r="D327" i="29"/>
  <c r="D302" i="29"/>
  <c r="D301" i="29"/>
  <c r="I291" i="29"/>
  <c r="I292" i="29"/>
  <c r="I293" i="29"/>
  <c r="I294" i="29"/>
  <c r="I295" i="29"/>
  <c r="I296" i="29"/>
  <c r="I297" i="29"/>
  <c r="I298" i="29"/>
  <c r="I299" i="29"/>
  <c r="D293" i="29"/>
  <c r="D294" i="29"/>
  <c r="D295" i="29"/>
  <c r="D296" i="29"/>
  <c r="D297" i="29"/>
  <c r="D298" i="29"/>
  <c r="D299" i="29"/>
  <c r="D97" i="31"/>
  <c r="E97" i="31" s="1"/>
  <c r="D98" i="31"/>
  <c r="E98" i="31" s="1"/>
  <c r="D268" i="29"/>
  <c r="D266" i="29"/>
  <c r="D216" i="29"/>
  <c r="D215" i="29"/>
  <c r="D244" i="29"/>
  <c r="D243" i="29"/>
  <c r="D242" i="29"/>
  <c r="D241" i="29"/>
  <c r="N65" i="29"/>
  <c r="N64" i="29"/>
  <c r="N63" i="29"/>
  <c r="N62" i="29"/>
  <c r="N61" i="29"/>
  <c r="N60" i="29"/>
  <c r="N59" i="29"/>
  <c r="N58" i="29"/>
  <c r="D65" i="29"/>
  <c r="D64" i="29"/>
  <c r="D63" i="29"/>
  <c r="D62" i="29"/>
  <c r="D61" i="29"/>
  <c r="D60" i="29"/>
  <c r="D59" i="29"/>
  <c r="D58" i="29"/>
  <c r="N57" i="29"/>
  <c r="D57" i="29"/>
  <c r="D185" i="29"/>
  <c r="D95" i="29"/>
  <c r="N163" i="29"/>
  <c r="D163" i="29"/>
  <c r="N143" i="29"/>
  <c r="D143" i="29"/>
  <c r="D107" i="29"/>
  <c r="N73" i="29"/>
  <c r="D73" i="29"/>
  <c r="N52" i="29"/>
  <c r="N53" i="29"/>
  <c r="D53" i="29"/>
  <c r="D52" i="29"/>
  <c r="N45" i="29"/>
  <c r="N46" i="29"/>
  <c r="D45" i="29"/>
  <c r="D36" i="29"/>
  <c r="D37" i="29"/>
  <c r="D135" i="31"/>
  <c r="E135" i="31" s="1"/>
  <c r="D63" i="31"/>
  <c r="E63" i="31" s="1"/>
  <c r="D238" i="29"/>
  <c r="D60" i="38"/>
  <c r="D48" i="42"/>
  <c r="E48" i="42"/>
  <c r="D47" i="42"/>
  <c r="E47" i="42"/>
  <c r="E55" i="42"/>
  <c r="D125" i="27"/>
  <c r="D123" i="27"/>
  <c r="D128" i="27"/>
  <c r="D127" i="27"/>
  <c r="D126" i="27"/>
  <c r="D124" i="27"/>
  <c r="D122" i="27"/>
  <c r="D121" i="27"/>
  <c r="D120" i="27"/>
  <c r="D119" i="27"/>
  <c r="D117" i="27"/>
  <c r="D116" i="27"/>
  <c r="D218" i="29"/>
  <c r="D222" i="29"/>
  <c r="D221" i="29"/>
  <c r="D220" i="29"/>
  <c r="D240" i="29"/>
  <c r="D239" i="29"/>
  <c r="D237" i="29"/>
  <c r="D101" i="31"/>
  <c r="D219" i="29"/>
  <c r="D217" i="29"/>
  <c r="D214" i="29"/>
  <c r="D134" i="27"/>
  <c r="D123" i="31"/>
  <c r="D122" i="31"/>
  <c r="D121" i="31"/>
  <c r="D82" i="42"/>
  <c r="D81" i="42"/>
  <c r="D80" i="42"/>
  <c r="D81" i="38"/>
  <c r="D80" i="38"/>
  <c r="D35" i="29"/>
  <c r="D133" i="27"/>
  <c r="D79" i="38"/>
  <c r="D264" i="29"/>
  <c r="E264" i="29" s="1"/>
  <c r="D92" i="38"/>
  <c r="E92" i="38"/>
  <c r="L57" i="27"/>
  <c r="L58" i="27"/>
  <c r="L60" i="27"/>
  <c r="L61" i="27"/>
  <c r="L62" i="27"/>
  <c r="L63" i="27"/>
  <c r="L64" i="27"/>
  <c r="L65" i="27"/>
  <c r="L66" i="27"/>
  <c r="L69" i="27"/>
  <c r="L70" i="27"/>
  <c r="L71" i="27"/>
  <c r="L72" i="27"/>
  <c r="L77" i="27"/>
  <c r="L78" i="27"/>
  <c r="L79" i="27"/>
  <c r="L80" i="27"/>
  <c r="L81" i="27"/>
  <c r="L82" i="27"/>
  <c r="L83" i="27"/>
  <c r="L84" i="27"/>
  <c r="L85" i="27"/>
  <c r="L86" i="27"/>
  <c r="L87" i="27"/>
  <c r="L88" i="27"/>
  <c r="L90" i="27"/>
  <c r="L92" i="27"/>
  <c r="D309" i="29"/>
  <c r="D75" i="38"/>
  <c r="D74" i="38"/>
  <c r="D73" i="38"/>
  <c r="D72" i="38"/>
  <c r="D71" i="38"/>
  <c r="D76" i="42"/>
  <c r="D75" i="42"/>
  <c r="D74" i="42"/>
  <c r="D73" i="42"/>
  <c r="D72" i="42"/>
  <c r="D115" i="31"/>
  <c r="D114" i="31"/>
  <c r="K90" i="27"/>
  <c r="K88" i="27"/>
  <c r="K87" i="27"/>
  <c r="K86" i="27"/>
  <c r="K85" i="27"/>
  <c r="K84" i="27"/>
  <c r="K83" i="27"/>
  <c r="K82" i="27"/>
  <c r="K81" i="27"/>
  <c r="K80" i="27"/>
  <c r="K79" i="27"/>
  <c r="K78" i="27"/>
  <c r="K77" i="27"/>
  <c r="K72" i="27"/>
  <c r="K71" i="27"/>
  <c r="K70" i="27"/>
  <c r="K69" i="27"/>
  <c r="K66" i="27"/>
  <c r="K65" i="27"/>
  <c r="K64" i="27"/>
  <c r="K63" i="27"/>
  <c r="K62" i="27"/>
  <c r="K61" i="27"/>
  <c r="K60" i="27"/>
  <c r="K58" i="27"/>
  <c r="K57" i="27"/>
  <c r="F43" i="27"/>
  <c r="F44" i="27" s="1"/>
  <c r="H90" i="27"/>
  <c r="F90" i="27"/>
  <c r="D90" i="27"/>
  <c r="H88" i="27"/>
  <c r="F88" i="27"/>
  <c r="D88" i="27"/>
  <c r="D115" i="27"/>
  <c r="D114" i="27"/>
  <c r="D113" i="27"/>
  <c r="D140" i="27"/>
  <c r="D139" i="27"/>
  <c r="D138" i="27"/>
  <c r="D137" i="27"/>
  <c r="D136" i="27"/>
  <c r="D135" i="27"/>
  <c r="D132" i="27"/>
  <c r="D258" i="29"/>
  <c r="D257" i="29"/>
  <c r="D256" i="29"/>
  <c r="D255" i="29"/>
  <c r="D253" i="29"/>
  <c r="D254" i="29"/>
  <c r="D246" i="29"/>
  <c r="D245" i="29"/>
  <c r="D236" i="29"/>
  <c r="D235" i="29"/>
  <c r="D234" i="29"/>
  <c r="D233" i="29"/>
  <c r="D232" i="29"/>
  <c r="D231" i="29"/>
  <c r="D230" i="29"/>
  <c r="D229" i="29"/>
  <c r="D213" i="29"/>
  <c r="D212" i="29"/>
  <c r="D211" i="29"/>
  <c r="I320" i="29"/>
  <c r="I319" i="29"/>
  <c r="D310" i="29"/>
  <c r="I302" i="29"/>
  <c r="I301" i="29"/>
  <c r="I300" i="29"/>
  <c r="D300" i="29"/>
  <c r="D292" i="29"/>
  <c r="D291" i="29"/>
  <c r="D283" i="29"/>
  <c r="D282" i="29"/>
  <c r="D281" i="29"/>
  <c r="D275" i="29"/>
  <c r="D207" i="29"/>
  <c r="D206" i="29"/>
  <c r="D197" i="29"/>
  <c r="D196" i="29"/>
  <c r="D195" i="29"/>
  <c r="D194" i="29"/>
  <c r="D193" i="29"/>
  <c r="D192" i="29"/>
  <c r="D191" i="29"/>
  <c r="D190" i="29"/>
  <c r="D189" i="29"/>
  <c r="D188" i="29"/>
  <c r="D187" i="29"/>
  <c r="D186" i="29"/>
  <c r="D184" i="29"/>
  <c r="D176" i="29"/>
  <c r="D175" i="29"/>
  <c r="D174" i="29"/>
  <c r="D173" i="29"/>
  <c r="D172" i="29"/>
  <c r="D171" i="29"/>
  <c r="D170" i="29"/>
  <c r="D169" i="29"/>
  <c r="D168" i="29"/>
  <c r="D167" i="29"/>
  <c r="D166" i="29"/>
  <c r="D165" i="29"/>
  <c r="D164" i="29"/>
  <c r="D162" i="29"/>
  <c r="D146" i="29"/>
  <c r="D145" i="29"/>
  <c r="D144" i="29"/>
  <c r="D142" i="29"/>
  <c r="D141" i="29"/>
  <c r="D140" i="29"/>
  <c r="D139" i="29"/>
  <c r="N176" i="29"/>
  <c r="N175" i="29"/>
  <c r="N174" i="29"/>
  <c r="N173" i="29"/>
  <c r="N172" i="29"/>
  <c r="N171" i="29"/>
  <c r="N170" i="29"/>
  <c r="N169" i="29"/>
  <c r="N168" i="29"/>
  <c r="N167" i="29"/>
  <c r="N166" i="29"/>
  <c r="N165" i="29"/>
  <c r="N164" i="29"/>
  <c r="N162" i="29"/>
  <c r="N146" i="29"/>
  <c r="N145" i="29"/>
  <c r="N144" i="29"/>
  <c r="N142" i="29"/>
  <c r="N141" i="29"/>
  <c r="N140" i="29"/>
  <c r="N139" i="29"/>
  <c r="D117" i="29"/>
  <c r="D116" i="29"/>
  <c r="D106" i="29"/>
  <c r="D105" i="29"/>
  <c r="D104" i="29"/>
  <c r="D103" i="29"/>
  <c r="D102" i="29"/>
  <c r="D101" i="29"/>
  <c r="D100" i="29"/>
  <c r="D99" i="29"/>
  <c r="D98" i="29"/>
  <c r="D97" i="29"/>
  <c r="D96" i="29"/>
  <c r="D94" i="29"/>
  <c r="D86" i="29"/>
  <c r="D85" i="29"/>
  <c r="D84" i="29"/>
  <c r="D83" i="29"/>
  <c r="D82" i="29"/>
  <c r="D81" i="29"/>
  <c r="D80" i="29"/>
  <c r="D79" i="29"/>
  <c r="D78" i="29"/>
  <c r="D77" i="29"/>
  <c r="D76" i="29"/>
  <c r="D75" i="29"/>
  <c r="D74" i="29"/>
  <c r="D72" i="29"/>
  <c r="D56" i="29"/>
  <c r="N86" i="29"/>
  <c r="N85" i="29"/>
  <c r="N84" i="29"/>
  <c r="N83" i="29"/>
  <c r="N82" i="29"/>
  <c r="N81" i="29"/>
  <c r="N80" i="29"/>
  <c r="N79" i="29"/>
  <c r="N78" i="29"/>
  <c r="N77" i="29"/>
  <c r="N76" i="29"/>
  <c r="N75" i="29"/>
  <c r="N74" i="29"/>
  <c r="N72" i="29"/>
  <c r="N56" i="29"/>
  <c r="N55" i="29"/>
  <c r="N54" i="29"/>
  <c r="N51" i="29"/>
  <c r="N50" i="29"/>
  <c r="N49" i="29"/>
  <c r="N48" i="29"/>
  <c r="N47" i="29"/>
  <c r="N44" i="29"/>
  <c r="D55" i="29"/>
  <c r="D54" i="29"/>
  <c r="D51" i="29"/>
  <c r="D50" i="29"/>
  <c r="D49" i="29"/>
  <c r="D48" i="29"/>
  <c r="D47" i="29"/>
  <c r="D46" i="29"/>
  <c r="D44" i="29"/>
  <c r="D34" i="29"/>
  <c r="D86" i="38"/>
  <c r="D85" i="38"/>
  <c r="D118" i="38"/>
  <c r="E118" i="38" s="1"/>
  <c r="D111" i="38"/>
  <c r="D105" i="38"/>
  <c r="D104" i="38"/>
  <c r="D63" i="38"/>
  <c r="E63" i="38" s="1"/>
  <c r="D62" i="38"/>
  <c r="E62" i="38" s="1"/>
  <c r="D61" i="38"/>
  <c r="E61" i="38" s="1"/>
  <c r="D59" i="38"/>
  <c r="E59" i="38" s="1"/>
  <c r="D52" i="38"/>
  <c r="E52" i="38" s="1"/>
  <c r="D45" i="38"/>
  <c r="E45" i="38" s="1"/>
  <c r="D105" i="31"/>
  <c r="E105" i="31" s="1"/>
  <c r="D102" i="42"/>
  <c r="E102" i="42"/>
  <c r="D101" i="42"/>
  <c r="E101" i="42"/>
  <c r="D94" i="42"/>
  <c r="E94" i="42"/>
  <c r="D87" i="42"/>
  <c r="D86" i="42"/>
  <c r="D64" i="42"/>
  <c r="E64" i="42"/>
  <c r="D63" i="42"/>
  <c r="E63" i="42"/>
  <c r="D62" i="42"/>
  <c r="E62" i="42"/>
  <c r="D39" i="42"/>
  <c r="E39" i="42"/>
  <c r="D38" i="42"/>
  <c r="E38" i="42"/>
  <c r="D94" i="31"/>
  <c r="E94" i="31" s="1"/>
  <c r="D85" i="31"/>
  <c r="E85" i="31" s="1"/>
  <c r="D83" i="31"/>
  <c r="E83" i="31" s="1"/>
  <c r="D75" i="31"/>
  <c r="E75" i="31" s="1"/>
  <c r="D73" i="31"/>
  <c r="E73" i="31" s="1"/>
  <c r="D65" i="31"/>
  <c r="E65" i="31" s="1"/>
  <c r="D128" i="31"/>
  <c r="D127" i="31"/>
  <c r="D117" i="31"/>
  <c r="D116" i="31"/>
  <c r="D113" i="31"/>
  <c r="D104" i="31"/>
  <c r="E104" i="31"/>
  <c r="D103" i="31"/>
  <c r="E103" i="31" s="1"/>
  <c r="D102" i="31"/>
  <c r="E102" i="31"/>
  <c r="D96" i="31"/>
  <c r="E96" i="31" s="1"/>
  <c r="D95" i="31"/>
  <c r="E95" i="31"/>
  <c r="C80" i="27"/>
  <c r="C81" i="27"/>
  <c r="C77" i="27"/>
  <c r="C86" i="27"/>
  <c r="D69" i="27"/>
  <c r="D71" i="27"/>
  <c r="D82" i="27"/>
  <c r="D77" i="27"/>
  <c r="C58" i="27"/>
  <c r="D81" i="27"/>
  <c r="C87" i="27"/>
  <c r="D76" i="27"/>
  <c r="C84" i="27"/>
  <c r="D70" i="27"/>
  <c r="D61" i="27"/>
  <c r="D75" i="27"/>
  <c r="D83" i="27"/>
  <c r="D58" i="27"/>
  <c r="D84" i="27"/>
  <c r="D63" i="27"/>
  <c r="C83" i="27"/>
  <c r="C85" i="27"/>
  <c r="C75" i="27"/>
  <c r="D68" i="27"/>
  <c r="D72" i="27"/>
  <c r="D79" i="27"/>
  <c r="D66" i="27"/>
  <c r="D59" i="27"/>
  <c r="D60" i="27"/>
  <c r="C57" i="27"/>
  <c r="D78" i="27"/>
  <c r="D80" i="27"/>
  <c r="C79" i="27"/>
  <c r="D86" i="27"/>
  <c r="D87" i="27"/>
  <c r="D62" i="27"/>
  <c r="D64" i="27"/>
  <c r="D85" i="27"/>
  <c r="D57" i="27"/>
  <c r="C78" i="27"/>
  <c r="C76" i="27"/>
  <c r="C82" i="27"/>
  <c r="C92" i="27"/>
  <c r="G79" i="27" l="1"/>
  <c r="G80" i="27"/>
  <c r="G77" i="27"/>
  <c r="G78" i="27"/>
  <c r="H85" i="27"/>
  <c r="H71" i="27"/>
  <c r="H77" i="27"/>
  <c r="H81" i="27"/>
  <c r="H84" i="27"/>
  <c r="H79" i="27"/>
  <c r="H70" i="27"/>
  <c r="H57" i="27"/>
  <c r="G86" i="27"/>
  <c r="G85" i="27"/>
  <c r="G76" i="27"/>
  <c r="G75" i="27"/>
  <c r="H82" i="27"/>
  <c r="H68" i="27"/>
  <c r="H76" i="27"/>
  <c r="H80" i="27"/>
  <c r="H64" i="27"/>
  <c r="H72" i="27"/>
  <c r="G83" i="27"/>
  <c r="G58" i="27"/>
  <c r="G81" i="27"/>
  <c r="G84" i="27"/>
  <c r="G59" i="27"/>
  <c r="H59" i="27"/>
  <c r="H83" i="27"/>
  <c r="H63" i="27"/>
  <c r="H75" i="27"/>
  <c r="H61" i="27"/>
  <c r="H66" i="27"/>
  <c r="G92" i="27"/>
  <c r="G87" i="27"/>
  <c r="G82" i="27"/>
  <c r="G57" i="27"/>
  <c r="H86" i="27"/>
  <c r="H69" i="27"/>
  <c r="H78" i="27"/>
  <c r="H87" i="27"/>
  <c r="H60" i="27"/>
  <c r="H58" i="27"/>
  <c r="H62" i="27"/>
  <c r="E86" i="27"/>
  <c r="F63" i="27"/>
  <c r="F78" i="27"/>
  <c r="E81" i="27"/>
  <c r="E82" i="27"/>
  <c r="E84" i="27"/>
  <c r="E77" i="27"/>
  <c r="F72" i="27"/>
  <c r="F69" i="27"/>
  <c r="F85" i="27"/>
  <c r="F87" i="27"/>
  <c r="F64" i="27"/>
  <c r="E92" i="27"/>
  <c r="F82" i="27"/>
  <c r="F77" i="27"/>
  <c r="E74" i="27"/>
  <c r="F79" i="27"/>
  <c r="F83" i="27"/>
  <c r="F86" i="27"/>
  <c r="F84" i="27"/>
  <c r="E80" i="27"/>
  <c r="F70" i="27"/>
  <c r="F62" i="27"/>
  <c r="F76" i="27"/>
  <c r="F81" i="27"/>
  <c r="E79" i="27"/>
  <c r="E78" i="27"/>
  <c r="E76" i="27"/>
  <c r="E85" i="27"/>
  <c r="E83" i="27"/>
  <c r="F71" i="27"/>
  <c r="F74" i="27"/>
  <c r="F80" i="27"/>
  <c r="F67" i="27"/>
  <c r="E87" i="27"/>
  <c r="F65" i="27"/>
  <c r="E72" i="45"/>
  <c r="E73" i="45"/>
  <c r="F80" i="45"/>
  <c r="F75" i="45"/>
  <c r="E70" i="45"/>
  <c r="E76" i="45"/>
  <c r="F74" i="45"/>
  <c r="F73" i="45"/>
  <c r="F57" i="45"/>
  <c r="F63" i="45"/>
  <c r="H49" i="45"/>
  <c r="G72" i="45" s="1"/>
  <c r="H65" i="45"/>
  <c r="G71" i="45"/>
  <c r="H53" i="45"/>
  <c r="G74" i="45"/>
  <c r="G81" i="45"/>
  <c r="H60" i="45"/>
  <c r="G76" i="45"/>
  <c r="H69" i="45"/>
  <c r="H56" i="45"/>
  <c r="H70" i="45"/>
  <c r="H80" i="45"/>
  <c r="H72" i="45"/>
  <c r="H76" i="45"/>
  <c r="H71" i="45"/>
  <c r="H75" i="45"/>
  <c r="G79" i="45"/>
  <c r="H55" i="45"/>
  <c r="G52" i="45"/>
  <c r="G77" i="45"/>
  <c r="H52" i="45"/>
  <c r="H54" i="45"/>
  <c r="G80" i="45"/>
  <c r="D49" i="45"/>
  <c r="D71" i="45" s="1"/>
  <c r="F58" i="45"/>
  <c r="E75" i="45"/>
  <c r="F72" i="45"/>
  <c r="F78" i="45"/>
  <c r="F61" i="45"/>
  <c r="E68" i="45"/>
  <c r="E71" i="45"/>
  <c r="F56" i="45"/>
  <c r="F70" i="45"/>
  <c r="E74" i="45"/>
  <c r="F81" i="45"/>
  <c r="E78" i="45"/>
  <c r="F65" i="45"/>
  <c r="E80" i="45"/>
  <c r="E77" i="45"/>
  <c r="F64" i="45"/>
  <c r="F66" i="45"/>
  <c r="F71" i="45"/>
  <c r="F68" i="45"/>
  <c r="E81" i="45"/>
  <c r="F77" i="45"/>
  <c r="E79" i="45"/>
  <c r="F79" i="45"/>
  <c r="E86" i="45"/>
  <c r="F76" i="45"/>
  <c r="F59" i="45"/>
  <c r="C81" i="45" l="1"/>
  <c r="D54" i="45"/>
  <c r="C80" i="45"/>
  <c r="D76" i="45"/>
  <c r="C76" i="45"/>
  <c r="D57" i="45"/>
  <c r="C77" i="45"/>
  <c r="D80" i="45"/>
  <c r="D75" i="45"/>
  <c r="D51" i="45"/>
  <c r="C79" i="45"/>
  <c r="D73" i="45"/>
  <c r="C73" i="45"/>
  <c r="D64" i="45"/>
  <c r="D78" i="45"/>
  <c r="D79" i="45"/>
  <c r="D60" i="45"/>
  <c r="C52" i="45"/>
  <c r="D55" i="45"/>
  <c r="D70" i="45"/>
  <c r="D56" i="45"/>
  <c r="C75" i="45"/>
  <c r="D69" i="45"/>
  <c r="D52" i="45"/>
  <c r="D81" i="45"/>
  <c r="C70" i="45"/>
  <c r="D62" i="45"/>
  <c r="H51" i="45"/>
  <c r="H66" i="45"/>
  <c r="H73" i="45"/>
  <c r="H62" i="45"/>
  <c r="H74" i="45"/>
  <c r="H64" i="45"/>
  <c r="H78" i="45"/>
  <c r="H81" i="45"/>
  <c r="G70" i="45"/>
  <c r="H58" i="45"/>
  <c r="H79" i="45"/>
  <c r="D77" i="45"/>
  <c r="C71" i="45"/>
  <c r="C78" i="45"/>
  <c r="C74" i="45"/>
  <c r="D63" i="45"/>
  <c r="C86" i="45"/>
  <c r="C51" i="45"/>
  <c r="D72" i="45"/>
  <c r="C72" i="45"/>
  <c r="D53" i="45"/>
  <c r="C69" i="45"/>
  <c r="D66" i="45"/>
  <c r="D74" i="45"/>
  <c r="D65" i="45"/>
  <c r="C53" i="45"/>
  <c r="D58" i="45"/>
  <c r="G51" i="45"/>
  <c r="G73" i="45"/>
  <c r="H77" i="45"/>
  <c r="H63" i="45"/>
  <c r="G75" i="45"/>
  <c r="G69" i="45"/>
  <c r="H57" i="45"/>
  <c r="G86" i="45"/>
  <c r="G78" i="45"/>
  <c r="G53" i="45"/>
</calcChain>
</file>

<file path=xl/sharedStrings.xml><?xml version="1.0" encoding="utf-8"?>
<sst xmlns="http://schemas.openxmlformats.org/spreadsheetml/2006/main" count="2126" uniqueCount="1450">
  <si>
    <t>Устанавливается адаптер и выносной аккумулятор для бесперебойного питания при отключении сети, до 2 недель, автоподзаряд. Все исполнения ЭБ.</t>
  </si>
  <si>
    <t>Во всех электронных блоках присутствует  индикация (мгновенный расход, накопленный объем, время наработки, 9 разрядный сегментный дисплей);</t>
  </si>
  <si>
    <r>
      <t xml:space="preserve">  </t>
    </r>
    <r>
      <rPr>
        <b/>
        <u/>
        <sz val="14"/>
        <rFont val="Tahoma"/>
        <family val="2"/>
        <charset val="204"/>
      </rPr>
      <t>ОПЦИИ К ОДНОЛУЧЕВЫМ И ДВУХЛУЧЕВЫМ УПР</t>
    </r>
  </si>
  <si>
    <t>Устанавливаются герметичные датчики с  пылевлагозащитой IP68, для работы в залитых колодцах, на глубине, в земле.</t>
  </si>
  <si>
    <t xml:space="preserve"> КМЧ800 - однолуч. - 2 компл</t>
  </si>
  <si>
    <t xml:space="preserve"> КМЧ800 - двухлуч. - 4 компл</t>
  </si>
  <si>
    <t xml:space="preserve"> КМЧ800 - однолуч. - 4 компл</t>
  </si>
  <si>
    <t>Комплектующие к Энконт</t>
  </si>
  <si>
    <t xml:space="preserve">           </t>
  </si>
  <si>
    <t xml:space="preserve"> Цена, руб, без НДС</t>
  </si>
  <si>
    <t xml:space="preserve">      Подробнее </t>
  </si>
  <si>
    <t>нет в продаже</t>
  </si>
  <si>
    <t>Устанавливаются в ИБ гальв.развяз. токовые 4-20 мА выходы, пропорциональные выбранному измеряемому параметру: объемный или массовый расход, температура, давление, тепловая мощность. Количество выходов: 2 шт.</t>
  </si>
  <si>
    <t xml:space="preserve"> совместимы с ЭБ US800-3x</t>
  </si>
  <si>
    <t xml:space="preserve">   2. УПР или КМЧ - Ультразвуковой преобразователь расхода или комплект монтажных частей для монтажа на трубу по месту эксплуатации, </t>
  </si>
  <si>
    <t>УПР-150-СТ20 двухлуч. черн. фланцевый</t>
  </si>
  <si>
    <t>УПР-150БФ-СТ20 двухлуч. черн. под сварку</t>
  </si>
  <si>
    <t>УПР-200-G двухлуч. нерж. фланцевый</t>
  </si>
  <si>
    <t>УПР-200-СТ20 двухлуч. черн. фланцевый</t>
  </si>
  <si>
    <t>УПР-200БФ-СТ20 двухлуч. черн. под сварку</t>
  </si>
  <si>
    <t>УПР-250Ф-G двухлуч. нерж. фланцевый</t>
  </si>
  <si>
    <t>УПР-250Ф-СТ20 двухлуч. черн. фланцевый</t>
  </si>
  <si>
    <r>
      <t>АКЦИЯ!</t>
    </r>
    <r>
      <rPr>
        <sz val="9"/>
        <rFont val="Arial"/>
        <family val="2"/>
        <charset val="204"/>
      </rPr>
      <t xml:space="preserve"> Универсальный преобразователь интерфейса RS485 или  RS232 в USB-порт                                                                                             для подсоединения к ПК, ноутбуку и пр.</t>
    </r>
  </si>
  <si>
    <r>
      <t xml:space="preserve">АКЦИЯ! </t>
    </r>
    <r>
      <rPr>
        <sz val="9"/>
        <rFont val="Arial"/>
        <family val="2"/>
        <charset val="204"/>
      </rPr>
      <t>GSM-модем в полном комплекте (комплект: модем, антенна, БП), интерфейс RS485.</t>
    </r>
  </si>
  <si>
    <t>Комплект монтажных частей (бобышки-держатели ПЭП и гайки) однолучевые для монтажа на трубу DN 250-2000 по месту эксплуатации. Материал Сталь20.     Р макс 25 атм.</t>
  </si>
  <si>
    <r>
      <t>Акция!</t>
    </r>
    <r>
      <rPr>
        <sz val="8"/>
        <rFont val="Arial Cyr"/>
        <family val="2"/>
        <charset val="204"/>
      </rPr>
      <t xml:space="preserve"> GSM-модем в полном комплекте (комплект: модем, антенна, бл.питания), интерфейс RS485. Посредством GSM-модема возможно только снятие архива с прибора!</t>
    </r>
  </si>
  <si>
    <t xml:space="preserve">  ДВУХКАНАЛЬНЫЙ ОДНОЛУЧЕВОЙ: </t>
  </si>
  <si>
    <t xml:space="preserve">  ДВУХКАНАЛЬНЫЙ ДВУХЛУЧЕВОЙ:</t>
  </si>
  <si>
    <t xml:space="preserve">  ЧЕТЫРЕХКАНАЛЬНЫЙ ОДНОЛУЧЕВОЙ:</t>
  </si>
  <si>
    <t xml:space="preserve">  ДВУХКАНАЛЬНЫЙ ОДНОЛУЧЕВОЙ, данная комплектация для закрытой системы теплоучета</t>
  </si>
  <si>
    <t xml:space="preserve"> УПР-015-G</t>
  </si>
  <si>
    <t xml:space="preserve"> УПР-025-G</t>
  </si>
  <si>
    <t xml:space="preserve"> УПР-032-G</t>
  </si>
  <si>
    <t>Закажите "приборный бокс-шкаф"!</t>
  </si>
  <si>
    <t xml:space="preserve">Требуется бесперебойная работа при отключении электричества? </t>
  </si>
  <si>
    <t>КАБЕЛЬ К УПР</t>
  </si>
  <si>
    <t xml:space="preserve"> Кабель РК-50-2-11</t>
  </si>
  <si>
    <t xml:space="preserve"> ЭБ  US-800-23-P-42/42-RS485-A</t>
  </si>
  <si>
    <t xml:space="preserve"> Кювета поверочная КП-800 (УТ-012)</t>
  </si>
  <si>
    <t xml:space="preserve"> Датчики ПЭП - 4 компл.</t>
  </si>
  <si>
    <t xml:space="preserve"> Термосопротивления - 2 пары</t>
  </si>
  <si>
    <t xml:space="preserve"> Термосопротивления - 1 пара</t>
  </si>
  <si>
    <t xml:space="preserve"> УПР однолуч. - 4 шт</t>
  </si>
  <si>
    <t xml:space="preserve"> Датчики ПЭП - 2 компл.</t>
  </si>
  <si>
    <t>Р макс, Т макс</t>
  </si>
  <si>
    <t>Опция "Токовый выход 4-20 мА"</t>
  </si>
  <si>
    <t xml:space="preserve">  1 шт ЭБ US800-2х + 2 шт УПР однолуч + кабель</t>
  </si>
  <si>
    <t xml:space="preserve">  1 шт ЭБ US800-3х + 1 шт УПР двухлуч + кабель</t>
  </si>
  <si>
    <t xml:space="preserve">   ВОЗМОЖНЫЕ ВАРИАНТЫ КОМПЛЕКТАЦИИ:</t>
  </si>
  <si>
    <t>УПР-250БФ-СТ20 двухлуч. черн. под сварку</t>
  </si>
  <si>
    <t>УПР-300Ф-G двухлуч. нерж. фланцевый</t>
  </si>
  <si>
    <t>УПР-300Ф-СТ20 двухлуч. черн. фланцевый</t>
  </si>
  <si>
    <t>УПР-300БФ-СТ20 двухлуч. черн. под сварку</t>
  </si>
  <si>
    <t>УПР-350Ф-СТ20 двухлуч. черн. фланцевый</t>
  </si>
  <si>
    <t>УПР-350БФ-СТ20 двухлуч. черн. под сварку</t>
  </si>
  <si>
    <t>УПР-400Ф-СТ20 двухлуч. черн. фланцевый</t>
  </si>
  <si>
    <t>УПР-400БФ-СТ20 двухлуч. черн. под сварку</t>
  </si>
  <si>
    <t>УПР-500Ф-СТ20 двухлуч. черн. фланцевый</t>
  </si>
  <si>
    <t>УПР-500БФ-СТ20 двухлуч. черн. под сварку</t>
  </si>
  <si>
    <t>УПР-600Ф-СТ20 двухлуч. черн. фланцевый</t>
  </si>
  <si>
    <t>УПР-600БФ-СТ20 двухлуч. черн. под сварку</t>
  </si>
  <si>
    <t>УПР-700Ф-СТ20 двухлуч. черн. фланцевый</t>
  </si>
  <si>
    <t>УПР-700БФ-СТ20 двухлуч. черн. под сварку</t>
  </si>
  <si>
    <t>УПР-800Ф-СТ20 двухлуч. черн. фланцевый</t>
  </si>
  <si>
    <t>УПР-800БФ-СТ20 двухлуч. черн. под сварку</t>
  </si>
  <si>
    <t>УПР-900Ф-СТ20 двухлуч. черн. фланцевый</t>
  </si>
  <si>
    <t>УПР-900БФ-СТ20 двухлуч. черн. под сварку</t>
  </si>
  <si>
    <t>Приборный бокс (шкаф) обогреваемый для электронных блоков и пр., с дверцей. Цена зависит от размера и кол-ва элементов внутри.</t>
  </si>
  <si>
    <t>Приборный бокс (шкаф) необогреваемый для электронных блоков и пр., с дверцей. Цена зависит от размера и кол-ва элементов внутри.</t>
  </si>
  <si>
    <t>Опц_42_ИБ</t>
  </si>
  <si>
    <t>Опц_ЧИ_ИБ</t>
  </si>
  <si>
    <t>Опц_ЧИ42_ИБ</t>
  </si>
  <si>
    <t>упр_двухлуч1_номер</t>
  </si>
  <si>
    <t>упр_двухлуч1</t>
  </si>
  <si>
    <t>упр_двухлуч1_цена</t>
  </si>
  <si>
    <t>упр_однолуч1_номер</t>
  </si>
  <si>
    <t>упр_однолуч1</t>
  </si>
  <si>
    <t>упр_однолуч1_цена</t>
  </si>
  <si>
    <t>не нужно</t>
  </si>
  <si>
    <t>упр_однолуч1_колво</t>
  </si>
  <si>
    <t>БИ_номер</t>
  </si>
  <si>
    <t>БИ_цена</t>
  </si>
  <si>
    <t>Блок индикации исп-е 40</t>
  </si>
  <si>
    <t>Блок индикации исп-е 42</t>
  </si>
  <si>
    <t xml:space="preserve">      Подробнее о ИБ: краткое описание, выходные сигналы, возможности</t>
  </si>
  <si>
    <t xml:space="preserve">Требуется удаленная беспроводная передача данных? </t>
  </si>
  <si>
    <t>Приборный бокс (шкаф) необогр.</t>
  </si>
  <si>
    <t>Приборный бокс (шкаф) обогр.</t>
  </si>
  <si>
    <t>Устанавливаются бобышки-держатели ПЭП с шаровыми кранами для безостановочной очистки / замены ПЭП, Р макс 25 атм, Ду200-2000 мм.</t>
  </si>
  <si>
    <t xml:space="preserve"> СТОИМОСТЬ НА ОДИН УПР!</t>
  </si>
  <si>
    <t xml:space="preserve"> прокладки паронитовые (2шт),</t>
  </si>
  <si>
    <t xml:space="preserve"> ГОСТ 12820-80 (фланцы плоские приварные).</t>
  </si>
  <si>
    <t xml:space="preserve"> Жесткая упаковка УПР производится в деревянную тару или обрешетку </t>
  </si>
  <si>
    <t xml:space="preserve"> для защиты при транспортировке.</t>
  </si>
  <si>
    <t xml:space="preserve"> Стандартная заводская упаковка не является жесткой!</t>
  </si>
  <si>
    <t xml:space="preserve"> ОБРЕШЕТКА для УПР Ду 15     </t>
  </si>
  <si>
    <t xml:space="preserve"> ОБРЕШЕТКА для УПР Ду 32    </t>
  </si>
  <si>
    <t xml:space="preserve"> ОБРЕШЕТКА для УПР Ду 40     </t>
  </si>
  <si>
    <t xml:space="preserve"> ОБРЕШЕТКА для УПР Ду 50     </t>
  </si>
  <si>
    <t xml:space="preserve"> ОБРЕШЕТКА для УПР Ду 65     </t>
  </si>
  <si>
    <t xml:space="preserve"> ОБРЕШЕТКА для УПР Ду 100     </t>
  </si>
  <si>
    <t xml:space="preserve"> ОБРЕШЕТКА для УПР Ду 200     </t>
  </si>
  <si>
    <t xml:space="preserve"> ОБРЕШЕТКА для УПР Ду 250     </t>
  </si>
  <si>
    <t xml:space="preserve"> ОБРЕШЕТКА для УПР Ду 80     </t>
  </si>
  <si>
    <t xml:space="preserve"> ОБРЕШЕТКА для УПР Ду 25     </t>
  </si>
  <si>
    <t xml:space="preserve"> ОБРЕШЕТКА для УПР Ду 300     </t>
  </si>
  <si>
    <t xml:space="preserve"> ОБРЕШЕТКА для УПР Ду 350     </t>
  </si>
  <si>
    <t xml:space="preserve"> ОБРЕШЕТКА для УПР Ду 400     </t>
  </si>
  <si>
    <t xml:space="preserve"> ОБРЕШЕТКА для УПР Ду 700     </t>
  </si>
  <si>
    <t xml:space="preserve"> ОБРЕШЕТКА для УПР Ду 800     </t>
  </si>
  <si>
    <t xml:space="preserve"> ОБРЕШЕТКА для УПР Ду 900     </t>
  </si>
  <si>
    <t xml:space="preserve"> ОБРЕШЕТКА для УПР Ду 1000     </t>
  </si>
  <si>
    <t xml:space="preserve"> ОБРЕШЕТКА для УПР Ду 1200    </t>
  </si>
  <si>
    <t xml:space="preserve"> ОБРЕШЕТКА для УПР Ду 1400   </t>
  </si>
  <si>
    <t xml:space="preserve"> ОБРЕШЕТКА для УПР Ду 600     </t>
  </si>
  <si>
    <t xml:space="preserve"> ОБРЕШЕТКА для УПР Ду 500    </t>
  </si>
  <si>
    <t>ЧЕТЫРЕХКАНАЛЬНЫЙ ОДНОЛУЧЕВОЙ (ДВУХКАНАЛЬНЫЙ ДВУХЛУЧЕВОЙ) ИБ</t>
  </si>
  <si>
    <t xml:space="preserve"> ДВУХКАНАЛЬНЫЙ ОДНОЛУЧЕВОЙ ИБ</t>
  </si>
  <si>
    <t xml:space="preserve"> Приспособление АС803 (ПР-003)</t>
  </si>
  <si>
    <t>Однолучевой УПР Ду350 мм, бесфланц. под сварку, материал черн.сталь20 с покрытием, Рмакс 16 атм, с датчиками ПЭП, Тмакс 150 ºС, IP65</t>
  </si>
  <si>
    <t>Однолучевой УПР Ду400 мм, бесфланц. под сварку, материал черн.сталь20 с покрытием, Рмакс 16 атм, с датчиками ПЭП, Тмакс 150 ºС, IP65</t>
  </si>
  <si>
    <t>Однолучевой УПР Ду500 мм, бесфланц. под сварку, материал черн.сталь20 с покрытием, Рмакс 16 атм, с датчиками ПЭП, Тмакс 150 ºС, IP65</t>
  </si>
  <si>
    <t>Однолучевой УПР Ду600 мм, бесфланц. под сварку, материал черн.сталь20 с покрытием, Рмакс 16 атм, с датчиками ПЭП, Тмакс 150 ºС, IP65</t>
  </si>
  <si>
    <r>
      <t xml:space="preserve">ОДНОЛУЧЕВЫЕ УПР. </t>
    </r>
    <r>
      <rPr>
        <sz val="9"/>
        <rFont val="Arial Cyr"/>
        <charset val="204"/>
      </rPr>
      <t>В однолучевом УПР установлена пара ПЭП (один луч), которые размещаются на оси, проходящей через диаметр поперечного сечения УПР.</t>
    </r>
  </si>
  <si>
    <t>суммируется со стоимостью электронного блока!</t>
  </si>
  <si>
    <t>ИНФОРМАЦИЮ О УЛЬТРАЗВУКОВЫХ ПРЕОБРАЗОВАТЕЛЯХ РАСХОДА СМОТРИТЕ НА СЛЕДУЮЩЕЙ ВКЛАДКЕ (СТРАНИЦЕ)</t>
  </si>
  <si>
    <t xml:space="preserve"> КАБЕЛЬ к УПР</t>
  </si>
  <si>
    <t xml:space="preserve"> КАБЕЛЬ к ТС и ПД</t>
  </si>
  <si>
    <t>УПР-080-G двухлуч. нерж. фланцевый</t>
  </si>
  <si>
    <t>УПР-100-G двухлуч. нерж. фланцевый</t>
  </si>
  <si>
    <t>УПР-150-G двухлуч. нерж. фланцевый</t>
  </si>
  <si>
    <t>жидк_номер</t>
  </si>
  <si>
    <t>жидк</t>
  </si>
  <si>
    <t>жидк_цена</t>
  </si>
  <si>
    <t>вода, теплоноситель и пр.</t>
  </si>
  <si>
    <t>сточные воды</t>
  </si>
  <si>
    <t>этиленгликоль/пропиленгликоль</t>
  </si>
  <si>
    <t>загрязнен.жидкость</t>
  </si>
  <si>
    <t>выхЭБ_номер</t>
  </si>
  <si>
    <t>выхЭБ</t>
  </si>
  <si>
    <t>ЧИ выход</t>
  </si>
  <si>
    <t>выхЭБ_цена</t>
  </si>
  <si>
    <t>ЧИ выход +  4-20мА</t>
  </si>
  <si>
    <t>4-20 мА выход</t>
  </si>
  <si>
    <t xml:space="preserve">Представляет собой прочный алюминиевый приборный корпус для настенного монтажа, пылевлагозащита IP65, эксплуатация от +5 ºС, </t>
  </si>
  <si>
    <t xml:space="preserve"> Опция "ИБП"</t>
  </si>
  <si>
    <t xml:space="preserve"> Опция "ШК"</t>
  </si>
  <si>
    <t xml:space="preserve"> КМЧ-800 однолуч.</t>
  </si>
  <si>
    <t xml:space="preserve"> КМЧ-800 двухлуч.</t>
  </si>
  <si>
    <t xml:space="preserve"> Поверка R (проливным методом)</t>
  </si>
  <si>
    <t xml:space="preserve">   ФОТОГАЛЕРЕЯ:  УЛЬТРАЗВУКОВОЙ ТЕПЛОСЧЕТЧИК ЭНКОНТ</t>
  </si>
  <si>
    <t>ПОДРОБНЕЕ О ЦЕНАХ НА УПР И ДАТЧИКИ ПЭП</t>
  </si>
  <si>
    <t xml:space="preserve"> подключается 2 шт однолучевых УПР</t>
  </si>
  <si>
    <t xml:space="preserve">  УЛЬТРАЗВУКОВЫЕ ПРЕОБРАЗОВАТЕЛИ УПР К РАСХОДОМЕРУ US-800 или ТЕПЛОСЧЕТЧИКУ ЭНКОНТ</t>
  </si>
  <si>
    <t xml:space="preserve">УПР представляет собой готовый калиброваный первичный преобразователь расхода, с установленными датчиками. Без ЭБ УПР не работает! </t>
  </si>
  <si>
    <t xml:space="preserve"> давления  </t>
  </si>
  <si>
    <t xml:space="preserve">     </t>
  </si>
  <si>
    <t xml:space="preserve">   </t>
  </si>
  <si>
    <t>мм</t>
  </si>
  <si>
    <t>250 - 2000</t>
  </si>
  <si>
    <t xml:space="preserve"> Конвертер RS485-RS232/ USB</t>
  </si>
  <si>
    <t xml:space="preserve"> Конвертер RS485 / RS232</t>
  </si>
  <si>
    <t xml:space="preserve"> Конвертер RS485-232 / USB</t>
  </si>
  <si>
    <t xml:space="preserve"> Габаритный имитатор Ду 15     </t>
  </si>
  <si>
    <t xml:space="preserve"> Габаритный имитатор Ду 20  </t>
  </si>
  <si>
    <t xml:space="preserve"> Габаритный имитатор Ду 25     </t>
  </si>
  <si>
    <t xml:space="preserve"> Габаритный имитатор Ду 32    </t>
  </si>
  <si>
    <t xml:space="preserve"> Габаритный имитатор Ду 40     </t>
  </si>
  <si>
    <t xml:space="preserve"> Габаритный имитатор Ду 50     </t>
  </si>
  <si>
    <t xml:space="preserve"> Габаритный имитатор Ду 65     </t>
  </si>
  <si>
    <t xml:space="preserve"> Габаритный имитатор Ду 80     </t>
  </si>
  <si>
    <t xml:space="preserve"> Габаритный имитатор Ду 100     </t>
  </si>
  <si>
    <t xml:space="preserve"> Габаритный имитатор Ду 125    </t>
  </si>
  <si>
    <t xml:space="preserve"> Габаритный имитатор Ду 150    </t>
  </si>
  <si>
    <t xml:space="preserve"> Габаритный имитатор Ду 200     </t>
  </si>
  <si>
    <t xml:space="preserve"> Габаритный имитатор Ду 300     </t>
  </si>
  <si>
    <t xml:space="preserve"> Габаритный имитатор Ду 250     </t>
  </si>
  <si>
    <t xml:space="preserve"> Габаритный имитатор Ду 350     </t>
  </si>
  <si>
    <t xml:space="preserve"> Габаритный имитатор Ду 400     </t>
  </si>
  <si>
    <t xml:space="preserve"> Габаритный имитатор Ду 500    </t>
  </si>
  <si>
    <t xml:space="preserve"> Габаритный имитатор Ду 600     </t>
  </si>
  <si>
    <t xml:space="preserve"> Габаритный имитатор Ду 700     </t>
  </si>
  <si>
    <t xml:space="preserve"> Габаритный имитатор Ду 800     </t>
  </si>
  <si>
    <t xml:space="preserve"> Габаритный имитатор Ду 900     </t>
  </si>
  <si>
    <t xml:space="preserve"> Габаритный имитатор Ду 1000     </t>
  </si>
  <si>
    <t xml:space="preserve"> Габаритный имитатор Ду 1200    </t>
  </si>
  <si>
    <t xml:space="preserve"> Габаритный имитатор Ду 1400   </t>
  </si>
  <si>
    <t>Опц_ПМЗ1</t>
  </si>
  <si>
    <t>Опц_ПМЗ2</t>
  </si>
  <si>
    <t>УПР-500Ф-СТ20 однолуч. черн. фланцевый</t>
  </si>
  <si>
    <t>УПР-500БФ-СТ20 однолуч. черн. под сварку</t>
  </si>
  <si>
    <t>УПР-600Ф-СТ20 однолуч. черн. фланцевый</t>
  </si>
  <si>
    <t>УПР-600БФ-СТ20 однолуч. черн. под сварку</t>
  </si>
  <si>
    <t>УПР-700Ф-СТ20 однолуч. черн. фланцевый</t>
  </si>
  <si>
    <t>УПР-700БФ-СТ20 однолуч. черн. под сварку</t>
  </si>
  <si>
    <t>УПР-800Ф-СТ20 однолуч. черн. фланцевый</t>
  </si>
  <si>
    <t>УПР-800БФ-СТ20 однолуч. черн. под сварку</t>
  </si>
  <si>
    <t>УПР-900Ф-СТ20 однолуч. черн. фланцевый</t>
  </si>
  <si>
    <t>УПР-900БФ-СТ20 однолуч. черн. под сварку</t>
  </si>
  <si>
    <t>УПР-1000Ф-СТ20 однолуч.  черн. фланцевый</t>
  </si>
  <si>
    <t>УПР-1000БФ-СТ20 однолуч. черн.под сварку</t>
  </si>
  <si>
    <t>УПР-1200Ф-СТ20 однолуч.  черн. фланцевый</t>
  </si>
  <si>
    <t>УПР-1200БФ-СТ20 однолуч. черн.под сварку</t>
  </si>
  <si>
    <t>УПР-1400Ф-СТ20 однолуч.  черн. фланцевый</t>
  </si>
  <si>
    <t>УПР-1400БФ-СТ20 однолуч. черн.под сварку</t>
  </si>
  <si>
    <t>УПР-050-G двухлуч. нерж. фланцевый</t>
  </si>
  <si>
    <t>УПР-065-G двухлуч. нерж. фланцевый</t>
  </si>
  <si>
    <t xml:space="preserve"> УПР-040-G</t>
  </si>
  <si>
    <t xml:space="preserve"> УПР-050-G однолуч.</t>
  </si>
  <si>
    <t xml:space="preserve"> УПР-065-G однолуч.</t>
  </si>
  <si>
    <t xml:space="preserve"> УПР-080-G однолуч.</t>
  </si>
  <si>
    <t xml:space="preserve"> УПР-100-G однолуч.</t>
  </si>
  <si>
    <t xml:space="preserve">Защитите прибор от постороннего вмешательства! </t>
  </si>
  <si>
    <t xml:space="preserve"> 1 ЭБ обслуживает 2 однолучевых УПР.</t>
  </si>
  <si>
    <t xml:space="preserve">   6. Кабель ParLan F/UTP Cat5e V/PE - Кабель витая пара между БИ-РК, РК-РК, РК-УФ, длина в зависимости от назначения от 5 м.</t>
  </si>
  <si>
    <t xml:space="preserve"> УПР Ду15 мм, фланцевое присоедин., материал трубы нерж.12Х18Н10Т, фланцы черн.ст20, Рмакс 16 атм, с датчиками ПЭП, Тмакс 120ºС, IP65</t>
  </si>
  <si>
    <t xml:space="preserve"> УПР Ду25 мм, фланцевое присоедин., материал трубы нерж.12Х18Н10Т, фланцы черн.ст20, Рмакс 16 атм, с датчиками ПЭП, Тмакс 120ºС, IP65</t>
  </si>
  <si>
    <t xml:space="preserve"> УПР Ду32 мм, фланцевое присоедин., материал трубы нерж.12Х18Н10Т, фланцы черн.ст20, Рмакс 16 атм, с датчиками ПЭП, Тмакс 120ºС, IP65</t>
  </si>
  <si>
    <t xml:space="preserve"> УПР Ду32 мм,  фланцевое присоедин., материал трубы нерж.12Х18Н10Т, фланцы черн.ст20, Рмакс 16 атм, с датчиками ПЭП, Тмакс 120ºС, IP65</t>
  </si>
  <si>
    <t xml:space="preserve"> Однолучевой УПР Ду50 мм, фланцевое присоедин., труба нерж.12Х18Н10Т, фланцы черн.ст20, Рмакс 16 атм, с  ПЭП, Тмакс 120ºС, IP65</t>
  </si>
  <si>
    <t xml:space="preserve"> Однолучевой УПР Ду65 мм, фланцевое присоедин., труба нерж.12Х18Н10Т, фланцы черн.ст20, Рмакс 16 атм, с  ПЭП, Тмакс 120ºС, IP65</t>
  </si>
  <si>
    <t xml:space="preserve"> УПР-700БФ-СТ20 двухлуч. </t>
  </si>
  <si>
    <t xml:space="preserve"> УПР-800БФ-СТ20 двухлуч. </t>
  </si>
  <si>
    <t xml:space="preserve"> УПР-900БФ-СТ20 двухлуч.   </t>
  </si>
  <si>
    <t xml:space="preserve"> УПР-1000БФ-СТ20 двухлуч. </t>
  </si>
  <si>
    <t xml:space="preserve"> УПР-1200БФ-СТ20 двухлуч. </t>
  </si>
  <si>
    <t>заказать</t>
  </si>
  <si>
    <t>кабель!</t>
  </si>
  <si>
    <t>без УПР</t>
  </si>
  <si>
    <t>Не забудьте</t>
  </si>
  <si>
    <r>
      <t xml:space="preserve">   </t>
    </r>
    <r>
      <rPr>
        <b/>
        <u/>
        <sz val="12"/>
        <rFont val="Arial Cyr"/>
        <charset val="204"/>
      </rPr>
      <t>ВНИМАНИЕ! Для правильной комплектации теплосчетчика Энконт требуется суммировать стоимость следующих позиций:</t>
    </r>
  </si>
  <si>
    <t xml:space="preserve">   7. Дополнительное оборудование и приборы (конвертеры, репитеры, модемы, ноутбуки, шкафы и пр.), не являющиеся средством измерения.</t>
  </si>
  <si>
    <t xml:space="preserve">   5. Кабель РК-50-2-11 - соединительный между УПР и ИБ, длина от 5 до 200 м к каждому датчику</t>
  </si>
  <si>
    <t xml:space="preserve">  Внимание! При заказе с УПР учитывать стоимость КМЧ не нужно!</t>
  </si>
  <si>
    <t xml:space="preserve"> Кювета для поверки (технологический УПР), автокоррекции УЗ приборов (US-800, ЭНКОНТ и аналогичн.), нерж.</t>
  </si>
  <si>
    <t xml:space="preserve"> УПР-800БФ-СТ20 однолуч.  </t>
  </si>
  <si>
    <t xml:space="preserve"> УПР-700БФ-СТ20 однолуч.  </t>
  </si>
  <si>
    <t xml:space="preserve"> УПР-500БФ-СТ20 однолуч. </t>
  </si>
  <si>
    <t xml:space="preserve"> УПР-400БФ-СТ20 однолуч. </t>
  </si>
  <si>
    <t xml:space="preserve"> УПР-350БФ-СТ20 однолуч.  </t>
  </si>
  <si>
    <t xml:space="preserve"> УПР-200БФ-СТ20 однолуч. </t>
  </si>
  <si>
    <t xml:space="preserve"> УПР-1400Ф-СТ20 однолуч.   </t>
  </si>
  <si>
    <t xml:space="preserve"> УПР-1200Ф-СТ20 однолуч. </t>
  </si>
  <si>
    <t xml:space="preserve"> УПР-1000Ф-СТ20 однолуч.   </t>
  </si>
  <si>
    <t xml:space="preserve"> УПР-900Ф-СТ20 однолуч.     </t>
  </si>
  <si>
    <t xml:space="preserve"> УПР-800Ф-СТ20 однолуч.  </t>
  </si>
  <si>
    <t xml:space="preserve">ИБ выпускаются в помехозащищенном исполнении: гальваническая развязка от трубы (защита от помех, наводок и т.п., безопасность в любых условиях </t>
  </si>
  <si>
    <t xml:space="preserve"> эксплуатации), сетевой фильтр, защита от перегрева, самодиагностика,  гибко программируется под различные условия эксплуатации.</t>
  </si>
  <si>
    <t>питание 220В перем.тока / 24В пост.тока, блок питания (220/24В) в комплекте.    Имеет свободную конфигурацию схем учета.</t>
  </si>
  <si>
    <t xml:space="preserve">Блок индикации ультразвукового расходомера US800 исполнения 4Х  предназначен для обмена данными с устройствами формирования (УФ),    </t>
  </si>
  <si>
    <t>Двухлучевой УПР Ду300 мм, фланцевое присоедин., материал черн.сталь20 с покрытием, Рмакс 16 атм, с датчиками ПЭП, Тмакс 150ºС, IP65</t>
  </si>
  <si>
    <t>Двухлучевой УПР Ду350 мм, фланцевое присоедин., материал черн.сталь20 с покрытием, Рмакс 16 атм, с датчиками ПЭП, Тмакс 150ºС, IP65</t>
  </si>
  <si>
    <t>Двухлучевой УПР Ду400 мм, фланцевое присоедин., материал черн.сталь20 с покрытием, Рмакс 16 атм, с датчиками ПЭП, Тмакс 150ºС, IP65</t>
  </si>
  <si>
    <t>Двухлучевой УПР Ду500 мм, фланцевое присоедин., материал черн.сталь20 с покрытием, Рмакс 16 атм, с датчиками ПЭП, Тмакс 150ºС, IP65</t>
  </si>
  <si>
    <t>Двухлучевой УПР Ду600 мм, фланцевое присоедин., материал черн.сталь20 с покрытием, Рмакс 16 атм, с датчиками ПЭП, Тмакс 150ºС, IP65</t>
  </si>
  <si>
    <t xml:space="preserve">Дополнительные опции  </t>
  </si>
  <si>
    <t>за доп.плату!</t>
  </si>
  <si>
    <t>Ответные фланцы в цену</t>
  </si>
  <si>
    <t xml:space="preserve">не включены! </t>
  </si>
  <si>
    <t>Все фланцы из черной стали!</t>
  </si>
  <si>
    <t>смотрите по ссылке:</t>
  </si>
  <si>
    <t>Ответные фланцы и кабель</t>
  </si>
  <si>
    <t xml:space="preserve">в стоимость не включены! </t>
  </si>
  <si>
    <t>Двухлучевой УПР Ду1000 мм, фланцевое присоедин., материал черн.сталь20 с покрытием, Рмакс 16 атм, с датчиками ПЭП, Тмакс 150ºС, IP65</t>
  </si>
  <si>
    <t>Двухлучевой УПР Ду1200 мм, фланцевое присоедин., материал черн.сталь20 с покрытием, Рмакс 16 атм, с датчиками ПЭП, Тмакс 150ºС, IP65</t>
  </si>
  <si>
    <t xml:space="preserve">Внимание! Цена 1 - для комплектов с УПР! Цена 2 - для комплектов без УПР или для кабеля отдельно!  Все цены в рублях, БЕЗ НДС! </t>
  </si>
  <si>
    <t>вычисления объемного расхода, вывода информации на индикатор или по линиям связи, регистрации данных в архиве.</t>
  </si>
  <si>
    <t>Устанавливаются в ИБ гальв.развяз. частотные 0-1000 Гц/ или импульсные (с прог.весом имп.) выходы, пропорциональные выбранному измеряемому параметру: объемный или массовый расход, температура, давление, тепловая мощность. Количество выходов: 2 шт.</t>
  </si>
  <si>
    <t xml:space="preserve">Устанавливается адаптер и выносной аккумулятор для бесперебойного питания при отключении сети, до 2 недель, автоподзаряд. </t>
  </si>
  <si>
    <t xml:space="preserve"> 1. На всю продукцию имеются сертификаты, паспорта,  и др. нормативно-эксплуатационная документация.</t>
  </si>
  <si>
    <t xml:space="preserve"> УПР-250Ф-G однолуч.</t>
  </si>
  <si>
    <t xml:space="preserve"> УПР-300Ф-G однолуч.</t>
  </si>
  <si>
    <t xml:space="preserve"> УПР-250Ф-G двухлуч.</t>
  </si>
  <si>
    <t xml:space="preserve"> УПР-300Ф-G двухлуч.</t>
  </si>
  <si>
    <t xml:space="preserve">Устанавливаются датчики для высокотемературных жидкостей.  Т макс 200 ºС.  </t>
  </si>
  <si>
    <t>КМЧ - бобышки-держатели ПЭП с гайками, однолучевое исполнение, материал черн.сталь20, Р макс 25 атм</t>
  </si>
  <si>
    <t xml:space="preserve">      Описание</t>
  </si>
  <si>
    <t>РК_номер</t>
  </si>
  <si>
    <t>РК</t>
  </si>
  <si>
    <t>РК-1шт</t>
  </si>
  <si>
    <t>РК-2шт</t>
  </si>
  <si>
    <t>РК-3шт</t>
  </si>
  <si>
    <t>РК_колво</t>
  </si>
  <si>
    <t xml:space="preserve"> Опция "ИБП US800-4x"</t>
  </si>
  <si>
    <t>Двухлучевой УПР Ду65 мм, фланцевое присоедин., труба нерж.12Х18Н10Т, фланцы черн.ст20, Рмакс 16 атм, с  ПЭП, Тмакс 120ºС, IP65</t>
  </si>
  <si>
    <t>Двухлучевой УПР Ду80 мм, фланцевое присоедин., труба нерж.12Х18Н10Т, фланцы черн.ст20, Рмакс 16 атм, с  ПЭП, Тмакс 120ºС, IP65</t>
  </si>
  <si>
    <t>Двухлучевой УПР Ду100 мм, фланцевое присоедин., труба нерж.12Х18Н10Т, фланцы черн.ст20, Рмакс 16 атм, с  ПЭП, Тмакс 120ºС, IP65</t>
  </si>
  <si>
    <t>Двухлучевой УПР Ду150 мм, фланцевое присоедин., труба нерж.12Х18Н10Т, фланцы черн.ст20, Рмакс 16 атм, с  ПЭП, Тмакс 150ºС, IP65</t>
  </si>
  <si>
    <t>Двухлучевой УПР Ду200 мм, фланцевое присоедин., труба нерж.12Х18Н10Т, фланцы черн.ст20, Рмакс 16 атм, с  ПЭП, Тмакс 150ºС, IP65</t>
  </si>
  <si>
    <t>Двухлучевой УПР Ду250 мм, фланцевое присоедин., труба нерж.12Х18Н10Т, фланцы черн.ст20, Рмакс 16 атм, с  ПЭП, Тмакс 150ºС, IP65</t>
  </si>
  <si>
    <t>Двухлучевой УПР Ду300 мм, фланцевое присоедин., труба нерж.12Х18Н10Т, фланцы черн.ст20, Рмакс 16 атм, с  ПЭП, Тмакс 150ºС, IP65</t>
  </si>
  <si>
    <t xml:space="preserve">   5. РК -  Распределительная коробка - количество 0-3 шт, в зависимости от варианта схемы подключения US800 (см. схемы в самом низу страницы или в РЭ US800-4X , приложение Д).</t>
  </si>
  <si>
    <t>УПР_1000БФСТ1</t>
  </si>
  <si>
    <t>УПР_1200БФСТ1</t>
  </si>
  <si>
    <t xml:space="preserve"> УПР-300Ф-СТ20 двухлуч.</t>
  </si>
  <si>
    <t xml:space="preserve"> А КАКИЕ ЭБ БЫВАЮТ?</t>
  </si>
  <si>
    <t xml:space="preserve"> серия ЭБ US800-1x</t>
  </si>
  <si>
    <t xml:space="preserve"> серия ЭБ US800-2x</t>
  </si>
  <si>
    <t xml:space="preserve"> подключается 1 шт однолучевой УПР</t>
  </si>
  <si>
    <t xml:space="preserve"> подключается 1 шт двухлучевой УПР</t>
  </si>
  <si>
    <t xml:space="preserve"> серия ЭБ US800-3x</t>
  </si>
  <si>
    <t xml:space="preserve"> ОДНОКАНАЛЬНЫЕ ДВУХЛУЧЕВЫЕ ЭБ</t>
  </si>
  <si>
    <t xml:space="preserve"> ДВУХКАНАЛЬНЫЕ ОДНОЛУЧЕВЫЕ ЭБ</t>
  </si>
  <si>
    <t xml:space="preserve"> ОДНОКАНАЛЬНЫЕ ОДНОЛУЧЕВЫЕ ЭБ</t>
  </si>
  <si>
    <t xml:space="preserve"> ЭБ US-800-11</t>
  </si>
  <si>
    <t xml:space="preserve"> ЭБ US-800-13</t>
  </si>
  <si>
    <t xml:space="preserve"> ЭБ US-800-21</t>
  </si>
  <si>
    <t xml:space="preserve"> ЭБ US-800-23</t>
  </si>
  <si>
    <t xml:space="preserve"> ЭБ US-800-31</t>
  </si>
  <si>
    <t xml:space="preserve">Кронштейн крепления УФ к УПР с термозащитой. Материал - металл. </t>
  </si>
  <si>
    <t xml:space="preserve"> УПР-350Ф-G двухлуч.</t>
  </si>
  <si>
    <t xml:space="preserve"> УПР-500Ф-G двухлуч.</t>
  </si>
  <si>
    <t xml:space="preserve"> УПР-700Ф-G двухлуч.</t>
  </si>
  <si>
    <t xml:space="preserve"> УПР-1000Ф-G двухлуч.</t>
  </si>
  <si>
    <t xml:space="preserve"> Наименование                                     Цена, руб, без НДС</t>
  </si>
  <si>
    <t xml:space="preserve"> ЯЩ.-ОБРЕШЕТКА - жесткая упаковка</t>
  </si>
  <si>
    <r>
      <t xml:space="preserve">  </t>
    </r>
    <r>
      <rPr>
        <b/>
        <u/>
        <sz val="14"/>
        <rFont val="Tahoma"/>
        <family val="2"/>
        <charset val="204"/>
      </rPr>
      <t>ОПЦИИ К ЭЛЕКТРОННЫМ БЛОКАМ</t>
    </r>
  </si>
  <si>
    <t>Ультразвуковой расходомер US-800 выполнен в помехозащищенном исполнении: имеет гальваническую развязку каналов измерения, выходных сигналов, защиту от помех, наводок,</t>
  </si>
  <si>
    <t>безопасен при любых условиях эксплуатации, имеет сетевой фильтр, защиту от перегрева, самодиагностику измерительных каналов и пр.</t>
  </si>
  <si>
    <t xml:space="preserve">    ОДНОКАНАЛЬНЫЕ </t>
  </si>
  <si>
    <t xml:space="preserve">       ДВУХЛУЧЕВЫЕ</t>
  </si>
  <si>
    <t>Закажите "GSM-модем" или "GPRS-терминал"!</t>
  </si>
  <si>
    <r>
      <t xml:space="preserve">Акция! </t>
    </r>
    <r>
      <rPr>
        <sz val="8"/>
        <rFont val="Arial Cyr"/>
        <family val="2"/>
        <charset val="204"/>
      </rPr>
      <t>GSM-модем в полном комплекте (комплект: модем, антенна), интерфейс USB. Применение для диспетчерского ПК.</t>
    </r>
  </si>
  <si>
    <t xml:space="preserve"> Имеет два канала измерения расхода.</t>
  </si>
  <si>
    <r>
      <t>АКЦИЯ!</t>
    </r>
    <r>
      <rPr>
        <sz val="9"/>
        <rFont val="Arial"/>
        <family val="2"/>
        <charset val="204"/>
      </rPr>
      <t xml:space="preserve"> Мининоутбук (нетбук) с WIN для сбора данных с эл.блока или др. устройств, ПО установлено! </t>
    </r>
  </si>
  <si>
    <t>Теплосчетчик ЭНКОНТ предназначен для обслуживания до 2-х или до 4-х трубопроводов на источнике теплоты, в открытых или закрытых системах теплопотребления,</t>
  </si>
  <si>
    <t xml:space="preserve">осуществляет учет тепловой энергии по одному или двум независимым теплообменным контурам, с фиксацией измеренных величин в архиве, выводом на ПК, ноутбук, </t>
  </si>
  <si>
    <t xml:space="preserve">локальную сеть, в сеть Ethernet, по GSM-модему, на вычислители, регуляторы, контроллеры, в систему АСУТП и пр. </t>
  </si>
  <si>
    <t>Свободная конфигурация схем учета до 4-х трубопроводов! Алгоритмы вычислений могут устанавливаться на месте эксплуатации по любому из уравнений, не противоречащим</t>
  </si>
  <si>
    <t xml:space="preserve">МИ2412-97 и "Правилам учета тепловой энергии". </t>
  </si>
  <si>
    <t>Цена за 1 метр, Кабель четырехжильный экранированный, соединительный кабель между ИБ и ТС/ПД.</t>
  </si>
  <si>
    <t xml:space="preserve">Внимание! При расчете кабеля учитывать количество датчиков ТС и ПД в системе измерения!  </t>
  </si>
  <si>
    <t>УПР-025Ф-G однолуч. нерж. фланцевый</t>
  </si>
  <si>
    <t>УПР-032-G однолуч. нерж. фланцевый</t>
  </si>
  <si>
    <t>УПР-040-G однолуч. нерж. фланцевый</t>
  </si>
  <si>
    <t>УПР-050-G однолуч. нерж. фланцевый</t>
  </si>
  <si>
    <t>УПР-065-G однолуч. нерж. фланцевый</t>
  </si>
  <si>
    <t>УПР-080-G однолуч. нерж. фланцевый</t>
  </si>
  <si>
    <t>УПР-100-G однолуч. нерж. фланцевый</t>
  </si>
  <si>
    <t>УПР-150-G однолуч. нерж. фланцевый</t>
  </si>
  <si>
    <t>УПР-150-СТ20 однолуч. черн. фланцевый</t>
  </si>
  <si>
    <t>УПР-150БФ-СТ20 однолуч. черн. под сварку</t>
  </si>
  <si>
    <t>УПР-200-G однолуч. нерж. фланцевый</t>
  </si>
  <si>
    <t>УПР-200-СТ20 однолуч. черн. фланцевый</t>
  </si>
  <si>
    <t>УПР-200БФ-СТ20 однолуч. черн. под сварку</t>
  </si>
  <si>
    <t>УПР-250Ф-G однолуч. нерж. фланцевый</t>
  </si>
  <si>
    <t>УПР-250Ф-СТ20 однолуч. черн. фланцевый</t>
  </si>
  <si>
    <t>УПР-250БФ-СТ20 однолуч. черн. под сварку</t>
  </si>
  <si>
    <t>УПР-300Ф-G однолуч. нерж. фланцевый</t>
  </si>
  <si>
    <t>УПР-300Ф-СТ20 однолуч. черн. фланцевый</t>
  </si>
  <si>
    <t>УПР-300БФ-СТ20 однолуч. черн. под сварку</t>
  </si>
  <si>
    <t>ящ_700</t>
  </si>
  <si>
    <t>КОФ_800</t>
  </si>
  <si>
    <t>ящ_800</t>
  </si>
  <si>
    <t>КОФ_900</t>
  </si>
  <si>
    <r>
      <t xml:space="preserve">Цена за 1 метр, Кабель помехозащищенный для наружной/внутренней прокладки между ЭБ и однолучевым УПР.  </t>
    </r>
    <r>
      <rPr>
        <b/>
        <u/>
        <sz val="9"/>
        <rFont val="Arial"/>
        <family val="2"/>
        <charset val="204"/>
      </rPr>
      <t>Комплектуется только с опцией  "ПМЗ/DIF"! БЕЗ ЭТОЙ ОПЦИИ НЕ ПРИМЕНИМ!</t>
    </r>
    <r>
      <rPr>
        <b/>
        <sz val="9"/>
        <rFont val="Arial"/>
        <family val="2"/>
        <charset val="204"/>
      </rPr>
      <t xml:space="preserve">                                                                     </t>
    </r>
    <r>
      <rPr>
        <sz val="9"/>
        <rFont val="Arial"/>
        <family val="2"/>
        <charset val="204"/>
      </rPr>
      <t xml:space="preserve"> Внимание! При расчете учитывать: один однолучевой УПР - одна нитка кабеля!  По заказу длина от 5 до 1000 м.</t>
    </r>
  </si>
  <si>
    <r>
      <t xml:space="preserve">Цена за 1 метр, Кабель помехозащищенный для наружной/внутренней прокладки между ЭБ и двухлучевым УПР.  </t>
    </r>
    <r>
      <rPr>
        <b/>
        <u/>
        <sz val="9"/>
        <rFont val="Arial"/>
        <family val="2"/>
        <charset val="204"/>
      </rPr>
      <t xml:space="preserve">Комплектуется только с опцией  "ПМЗ/DIF"! БЕЗ ЭТОЙ ОПЦИИ НЕ ПРИМЕНИМ!             </t>
    </r>
    <r>
      <rPr>
        <b/>
        <sz val="9"/>
        <rFont val="Arial"/>
        <family val="2"/>
        <charset val="204"/>
      </rPr>
      <t xml:space="preserve">                                                      </t>
    </r>
    <r>
      <rPr>
        <sz val="9"/>
        <rFont val="Arial"/>
        <family val="2"/>
        <charset val="204"/>
      </rPr>
      <t xml:space="preserve"> Внимание! При расчете учитывать: один двухлучевой УПР - одна нитка кабеля!  По заказу длина от 5 до 1000 м.</t>
    </r>
  </si>
  <si>
    <t>Опция "ПМЗ/EF"</t>
  </si>
  <si>
    <t xml:space="preserve">Опция "ПМЗ/DIF" </t>
  </si>
  <si>
    <t>Устанавливается адаптер и выносной аккумулятор (ИБП-источник бесперебойного питания) для бесперебойного питания при отсутствии 220 В, до 2 недель, автоподзаряд.</t>
  </si>
  <si>
    <t xml:space="preserve">Устанавливается датчик с увеличенным коэффициентом передачи сигнала, для сложных условий эксплуатации, при нестандартной жидкости, или при заказе кабеля более 200м.  Пылевлагозащита IP65.  </t>
  </si>
  <si>
    <t xml:space="preserve">Устанавливаются датчики с увеличенным коэффициентом передачи сигнала, для нестандартных жидкостей (стоки, загрязненные, нефтехим.продукты и пр.) для сложных условий эксплуатации, при заказе кабеля более 200м. </t>
  </si>
  <si>
    <t xml:space="preserve">Устанавливаются герметичные датчики с пылевлагозащитой IP68 с увеличенным коэффициентом передачи сигнала, для сложных условий эксплуатации (нестандартных жидкостях, длинном кабеле, повышенных помехах).  </t>
  </si>
  <si>
    <t>Комплект датчиков ПЭП с увеличенным коэффициентом передачи сигнала для сложных усл.эксплуатации,  длинном кабеле (более 200 м), нестандартной жидкости, с гайкой на оси (ремкомплект). Разъем Hirschmann, IP65. Материал датчика титан. Тмакс 120ºС. Однолуч. Ду15-65 мм; двухлуч. Ду50-100 мм. Комплект=2шт. Диаметр датчика 14 мм.</t>
  </si>
  <si>
    <t>Комплект ПЭП с гайкой на оси, с увеличенным коэффициентом передачи сигнала, для сложных усл. эксплуатации,  с герметичн.разъемом IP68 для залитых колодцев и пр. Ремкомплект. Тмакс 120ºС. Однолуч. Ду15-65 мм; двухлуч. Ду50-100 мм. Комплект=2шт. Диаметр датчика 14 мм.</t>
  </si>
  <si>
    <t>Комплект ПЭП с увеличенным коэффициентом передачи сигнала, для сложных усл. эксплуатации, с герметичн.разъемом IP68 для залитых колодцев и пр. Материал датчика титан. Тмакс 150ºС. Однолуч. Ду80-2000 мм; двухлуч. Ду150-2000 мм. Комплект=2шт. Диаметр датчика 24 мм.</t>
  </si>
  <si>
    <t xml:space="preserve">Комплект датчиков ПЭП с увеличенным коэффициентом передачи сигнала, для сложных усл.эксплуатации, длинном кабеле (более 200 м), нестандартной жидкости, на трубы больших диаметров. Разъем Hirschmann, IP65. Материал датчика титан. Тмакс 150ºС. Однолуч. Ду80-2000 мм; двухлуч. Ду150-2000 мм. Комплект=2шт. Диаметр датчика 24 мм. </t>
  </si>
  <si>
    <r>
      <t xml:space="preserve">NEW! </t>
    </r>
    <r>
      <rPr>
        <sz val="8"/>
        <rFont val="Arial Cyr"/>
        <family val="2"/>
        <charset val="204"/>
      </rPr>
      <t xml:space="preserve">Комплект пластиковых ПЭП для эксплуатац. в условиях повышенных помех, с увеличенным коэффициентом передачи сигнала. Герметичный разъем пылевлагозащитой IP68. </t>
    </r>
    <r>
      <rPr>
        <sz val="8"/>
        <rFont val="Arial Cyr"/>
        <charset val="204"/>
      </rPr>
      <t>Материал датчика пластик. Тмакс 150ºС. Однолуч. Ду80-2000 мм; Двухлуч. Ду150-2000 мм. Комплект=2шт. Диаметр датчика 24 мм.</t>
    </r>
  </si>
  <si>
    <t xml:space="preserve">Устанавливается герметичный датчик с пылевлагозащитой IP68 и с увеличенным коэффициентом передачи сигнала (для сложных условий эксплуатации, нестандартной жидкости, длинном кабеле и пр.).  </t>
  </si>
  <si>
    <t>Устанавливаются пластиковые датчики с увеличенным коэффициентом передачи сигнала, для сложных условий эксплуатации. Т макс 150ºС, Ду200-2000 мм.</t>
  </si>
  <si>
    <t>Устанавливаются пластиковые датчики с увеличенным коэффициентом передачи сигнала, для сложных условий эксплуатации. С герметичным разъемом пылевлагозащитой IP68. Т макс 150ºС. Ду200-2000 мм.</t>
  </si>
  <si>
    <t>Устанавливаются пластиковые датчики ПЭП с увеличенным коэфф. передачи сигнала, для эксплуатации в условиях повыш.помех, Т макс 150ºС, Ду150-2000 мм.</t>
  </si>
  <si>
    <t>Устанавливаются пластиковые датчики ПЭП с увеличенным коэфф. передачи сигнала, герметичные с пылевлагозащитой IP68, Т макс 150ºС, Ду150-2000 мм.</t>
  </si>
  <si>
    <r>
      <t xml:space="preserve">NEW! </t>
    </r>
    <r>
      <rPr>
        <sz val="8"/>
        <rFont val="Arial Cyr"/>
        <family val="2"/>
        <charset val="204"/>
      </rPr>
      <t xml:space="preserve">Комплект пластиковых ПЭП для эксплуатац. в условиях повышенных помех, с увеличенным коэффициентом передачи сигнала. Разъем Hirschmann, IP65. </t>
    </r>
    <r>
      <rPr>
        <sz val="8"/>
        <rFont val="Arial Cyr"/>
        <charset val="204"/>
      </rPr>
      <t>Материал датчика пластик. Тмакс 150ºС. Однолуч. Ду80-2000 мм; Двухлуч. Ду150-2000 мм. Комплект=2шт. Диаметр датчика 24 мм.</t>
    </r>
  </si>
  <si>
    <t xml:space="preserve"> Опция "ПМЗ/DIF"</t>
  </si>
  <si>
    <t xml:space="preserve"> Опция "ПМЗ/EF"</t>
  </si>
  <si>
    <r>
      <rPr>
        <b/>
        <sz val="8"/>
        <rFont val="Arial Cyr"/>
        <charset val="204"/>
      </rPr>
      <t xml:space="preserve">NEW! </t>
    </r>
    <r>
      <rPr>
        <sz val="8"/>
        <rFont val="Arial Cyr"/>
        <family val="2"/>
        <charset val="204"/>
      </rPr>
      <t xml:space="preserve">Устанавливается </t>
    </r>
    <r>
      <rPr>
        <b/>
        <sz val="8"/>
        <rFont val="Arial Cyr"/>
        <charset val="204"/>
      </rPr>
      <t xml:space="preserve">дополнительный </t>
    </r>
    <r>
      <rPr>
        <sz val="8"/>
        <rFont val="Arial Cyr"/>
        <family val="2"/>
        <charset val="204"/>
      </rPr>
      <t xml:space="preserve">цифровой интерфейс RS485. Все исполнения ЭБ. </t>
    </r>
  </si>
  <si>
    <t xml:space="preserve">Приборный бокс (шкаф) обогреваемый  для электронных блоков и др., различные размеры.                                                                                                                                                         Термостат поддерживает постоянную температуру +5ºС. Питание 220В. Цена зависит от размера и количества элементов внутри! </t>
  </si>
  <si>
    <t>Приборный бокс (шкаф) для электронных блоков и др., различные размеры. Цена зависит от размера и количества элементов внутри</t>
  </si>
  <si>
    <t>Опция "ПЭП IP68 У"</t>
  </si>
  <si>
    <t xml:space="preserve"> УПР-400Ф-G двухлуч.</t>
  </si>
  <si>
    <t xml:space="preserve"> УПР-600Ф-G двухлуч.</t>
  </si>
  <si>
    <t xml:space="preserve"> УПР-800Ф-G двухлуч.</t>
  </si>
  <si>
    <t xml:space="preserve"> УПР-900Ф-G двухлуч.</t>
  </si>
  <si>
    <t>Двухлучевой УПР Ду350 мм, фланцевое присоедин., труба нерж.12Х18Н10Т, фланцы черн.ст20, Рмакс 16 атм, с  ПЭП, Тмакс 150ºС, IP65</t>
  </si>
  <si>
    <t>Двухлучевой УПР Ду400 мм, фланцевое присоедин., труба нерж.12Х18Н10Т, фланцы черн.ст20, Рмакс 16 атм, с  ПЭП, Тмакс 150ºС, IP65</t>
  </si>
  <si>
    <t>Двухлучевой УПР Ду500 мм, фланцевое присоедин., труба нерж.12Х18Н10Т, фланцы черн.ст20, Рмакс 16 атм, с  ПЭП, Тмакс 150ºС, IP65</t>
  </si>
  <si>
    <t>Двухлучевой УПР Ду600 мм, фланцевое присоедин., труба нерж.12Х18Н10Т, фланцы черн.ст20, Рмакс 16 атм, с  ПЭП, Тмакс 150ºС, IP65</t>
  </si>
  <si>
    <t>Двухлучевой УПР Ду700 мм, фланцевое присоедин., труба нерж.12Х18Н10Т, фланцы черн.ст20, Рмакс 16 атм, с  ПЭП, Тмакс 150ºС, IP65</t>
  </si>
  <si>
    <t>Двухлучевой УПР Ду800 мм, фланцевое присоедин., труба нерж.12Х18Н10Т, фланцы черн.ст20, Рмакс 16 атм, с  ПЭП, Тмакс 150ºС, IP65</t>
  </si>
  <si>
    <t>Двухлучевой УПР Ду900 мм, фланцевое присоедин., труба нерж.12Х18Н10Т, фланцы черн.ст20, Рмакс 16 атм, с  ПЭП, Тмакс 150ºС, IP65</t>
  </si>
  <si>
    <t>Двухлучевой УПР Ду1000 мм, фланцевое присоедин., труба нерж.12Х18Н10Т, фланцы черн.ст20, Рмакс 16 атм, с  ПЭП, Тмакс 150ºС, IP65</t>
  </si>
  <si>
    <t xml:space="preserve"> Обрешетка обязательна в случае доставки по адресу, для диаметров </t>
  </si>
  <si>
    <t>от 400 мм, для бесфланцевые УПР.</t>
  </si>
  <si>
    <t xml:space="preserve"> Обрешетка,</t>
  </si>
  <si>
    <t>На каждый канал устанавливается гальванически развязанный токовый (аналоговый) выход 4-20 мА, прямопропорциональный расходу.   Исполнения электронных блоков c данной опцией: US800-х3 (подробнее о ЭБ во вкладке Комплектующие к US800).</t>
  </si>
  <si>
    <t xml:space="preserve"> 15-1000       фланцевое                 нерж.сталь</t>
  </si>
  <si>
    <t xml:space="preserve">Электронный блок, один канал измерения расхода, подключается 1 однолучевой УПР.  Индикация, частотный (0-1000 Гц) /импульсн. выход, цифровой интерфейс RS485 (ModBus), Архив. Возможности: объединение в сеть, подключение GSM-модема/GPRS-терминала; через конвертеры и адаптеры: подключение к ПК, ноутбуку, в сеть Ethernet. Питание 220В </t>
  </si>
  <si>
    <t xml:space="preserve">Электронный блок,  один канал измерения расхода, подключается 1 двухлучевой УПР (повышенная точность, мин.прямых участков при монтаже).  Индикация, частотный (0-1000 Гц) /импульсн. выход, цифровой интерфейс RS485 (ModBus), Архив. Возможности: объединение в сеть, подключение GSM-модема/GPRS-терминала; через конвертеры и адаптеры: подключение к ПК, ноутбуку, в сеть Ethernet. Питание 220В </t>
  </si>
  <si>
    <t xml:space="preserve">Электронный блок,  один канал измерения расхода, подключается 1 двухлучевой УПР (повышенная точность, мин.прямых участков при монтаже).  Индикация, частотный (0-1000 Гц)/импульсн. выход, аналоговый выход 4-20 мА, цифровой интерфейс RS485 (ModBus), Архив. Возможности: объединение в сеть, вывод информации в АСУТП, подключение GSM-модема/GPRS-терминала; через конвертеры и адаптеры: подключение к ПК, ноутбуку, в сеть Ethernet. Питание 220В.  </t>
  </si>
  <si>
    <t xml:space="preserve">Электронный блок, один канал измерения расхода, подключается 1 однолучевой УПР. Индикация, частотный (0-1000 Гц)/импульсн. выход, аналоговый выход 4-20 мА, цифровой интерфейс RS485 (ModBus), Архив. Возможности: объединение в сеть, вывод информации в АСУТП, подключение GSM-модема/GPRS-терминала; через конвертеры и адаптеры: подключение к ПК, ноутбуку, в сеть Ethernet. Питание 220В.  </t>
  </si>
  <si>
    <t xml:space="preserve">Электронный блок,  два канала измерения расхода, подключается 2 однолучевых УПР. Индикация по кажд.каналу, частотный (0-1000 Гц) /импульсн. выход  на кажд.канал, аналоговый выход 4-20 мА на кажд.канал, цифровой интерфейс RS485 (ModBus), Архив. Возможности: объединение в сеть, вывод информации в АСУТП, подключение GSM-модема/GPRS-терминала;через конвертеры и адаптеры: подключение к ПК, ноутбуку, в сеть Ethernet. Питание 220В.    </t>
  </si>
  <si>
    <t xml:space="preserve"> Опция "дополнительный RS485"</t>
  </si>
  <si>
    <t xml:space="preserve"> Опция "18-36В + ИБП"</t>
  </si>
  <si>
    <t xml:space="preserve">                       Цена, руб, без НДС</t>
  </si>
  <si>
    <t xml:space="preserve">за доп.плату! </t>
  </si>
  <si>
    <t>Комплектующие к US800</t>
  </si>
  <si>
    <t>ЭБ-US800-11   - 1 шт</t>
  </si>
  <si>
    <t>ЭБ-US800-31   - 1 шт</t>
  </si>
  <si>
    <t>ЭБ-US800-21   - 1 шт</t>
  </si>
  <si>
    <t xml:space="preserve">                     ПРИМЕЧАНИЕ</t>
  </si>
  <si>
    <t xml:space="preserve"> 15-1000       фланцевое                нерж.сталь</t>
  </si>
  <si>
    <t>По заказу изготавливаются УПР на давления 2.5 МПа, 4 МПа, 6 МПа,  на высокие давления до 10, до 16, до 25 МПа.</t>
  </si>
  <si>
    <t>КАБЕЛЬ  К  УПР</t>
  </si>
  <si>
    <t xml:space="preserve"> Кабель - по заказу        </t>
  </si>
  <si>
    <t xml:space="preserve"> Кабель -  по заказу        </t>
  </si>
  <si>
    <t xml:space="preserve">        ПРИМЕЧАНИЕ</t>
  </si>
  <si>
    <t xml:space="preserve"> КМЧ-800 (ШК) однолуч.</t>
  </si>
  <si>
    <t xml:space="preserve"> КМЧ-800 (ШК) двухлуч.</t>
  </si>
  <si>
    <t>УПР_600ФСТ2</t>
  </si>
  <si>
    <t>УПР_700ФСТ2</t>
  </si>
  <si>
    <t>УПР_800ФСТ2</t>
  </si>
  <si>
    <t>УПР_900ФСТ2</t>
  </si>
  <si>
    <t>УПР_015РГ1</t>
  </si>
  <si>
    <t>УПР_025РГ1</t>
  </si>
  <si>
    <t>УПР_015ФГ1</t>
  </si>
  <si>
    <t>УПР_025ФГ1</t>
  </si>
  <si>
    <t>УПР_032ФГ1</t>
  </si>
  <si>
    <t>УПР_040ФГ1</t>
  </si>
  <si>
    <t>УПР_050ФГ1</t>
  </si>
  <si>
    <t>УПР_065ФГ1</t>
  </si>
  <si>
    <t>УПР_080ФГ1</t>
  </si>
  <si>
    <t>УПР_100ФГ1</t>
  </si>
  <si>
    <t>УПР_150ФГ1</t>
  </si>
  <si>
    <t>УПР_200ФГ1</t>
  </si>
  <si>
    <t>УПР_250ФГ1</t>
  </si>
  <si>
    <t>УПР_300ФГ1</t>
  </si>
  <si>
    <t>УПР_050ФГ2</t>
  </si>
  <si>
    <t>УПР_065ФГ2</t>
  </si>
  <si>
    <t>УПР_080ФГ2</t>
  </si>
  <si>
    <t>УПР_100ФГ2</t>
  </si>
  <si>
    <t>УПР_150ФГ2</t>
  </si>
  <si>
    <t>УПР_200ФГ2</t>
  </si>
  <si>
    <t>УПР_250ФГ2</t>
  </si>
  <si>
    <t>УПР_300ФГ2</t>
  </si>
  <si>
    <t>УПР_1000ФСТ2</t>
  </si>
  <si>
    <t>УПР_1200ФСТ2</t>
  </si>
  <si>
    <t>УПР_1400ФСТ2</t>
  </si>
  <si>
    <t>ФУТП</t>
  </si>
  <si>
    <t>Опц_дозир</t>
  </si>
  <si>
    <t>Опц_пониж</t>
  </si>
  <si>
    <t>Опц_повыш</t>
  </si>
  <si>
    <r>
      <t>АКЦИЯ!</t>
    </r>
    <r>
      <rPr>
        <sz val="9"/>
        <rFont val="Arial"/>
        <family val="2"/>
        <charset val="204"/>
      </rPr>
      <t xml:space="preserve"> Преобразователь интерфейса RS485 в RS232 для подсоединения к ПК, GSM-модему,                                                                              имеющим RS232 (Com-порт).</t>
    </r>
  </si>
  <si>
    <t xml:space="preserve"> эксплуатации для Ду200-2000 мм.</t>
  </si>
  <si>
    <t xml:space="preserve"> сталь20, покрытие</t>
  </si>
  <si>
    <t xml:space="preserve"> возможности приборов не ограничиваются приведенными вариантами, а зависят от типов и количества подключаемых элементов! </t>
  </si>
  <si>
    <r>
      <t xml:space="preserve">   </t>
    </r>
    <r>
      <rPr>
        <b/>
        <u/>
        <sz val="12"/>
        <rFont val="Arial Cyr"/>
        <charset val="204"/>
      </rPr>
      <t>ВНИМАНИЕ! Для правильной комплектации расходомера US-800 требуется суммировать стоимость следующих позиций:</t>
    </r>
  </si>
  <si>
    <t xml:space="preserve"> ОДНОЛУЧЕВЫЕ УПР, РЕЗЬБОВЫЕ, НЕРЖ. СТАЛЬ</t>
  </si>
  <si>
    <t xml:space="preserve"> ОДНОЛУЧЕВЫЕ УПР, ФЛАНЦЕВЫЕ, ЧЕРН. СТАЛЬ</t>
  </si>
  <si>
    <t xml:space="preserve"> ОДНОЛУЧЕВЫЕ УПР, ФЛАНЦЕВЫЕ, НЕРЖ. СТАЛЬ</t>
  </si>
  <si>
    <r>
      <t xml:space="preserve">  </t>
    </r>
    <r>
      <rPr>
        <b/>
        <u/>
        <sz val="14"/>
        <rFont val="Tahoma"/>
        <family val="2"/>
        <charset val="204"/>
      </rPr>
      <t>ОПЦИИ К БЛОКУ ИНДИКАЦИИ:</t>
    </r>
  </si>
  <si>
    <t xml:space="preserve">Комплект монтажных частей (бобышки-держатели ПЭП и гайки) однолучевые для монтажа на трубу DN 250-2000 по месту эксплуатации. Материал нерж. 12Х18Н10Т. Р макс 25 атм. Не применяется для трубопроводов из черной стали!  </t>
  </si>
  <si>
    <t xml:space="preserve">   4. КУФ - Кронштейн крепления УФ к УПР, по количеству УПР, количество 1-4 шт </t>
  </si>
  <si>
    <t xml:space="preserve"> фланцев к УПР, </t>
  </si>
  <si>
    <t xml:space="preserve"> 2. Доставка по РФ транспортными компаниями (Деловые Линии, Желдорэкспедиция и др.), авто, ж/д, курьером, почтой, а также другими видами транспорта.  </t>
  </si>
  <si>
    <t xml:space="preserve">Представляет собой прочный алюминиевый приборный корпус для настенного монтажа, пылевлагозащита IP54, эксплуатация от +5 ºС, </t>
  </si>
  <si>
    <t xml:space="preserve">питание 220В перем.тока / 24В пост.тока, блок питания (220/24В) в комплекте.     </t>
  </si>
  <si>
    <t>к БИ  подсоединяется до 4 шт однолучевых УФ (УПР) или до 2 шт двухлучевых УФ (УПР).</t>
  </si>
  <si>
    <t>ЧЕТЫРЕХКАНАЛЬНЫЙ ОДНОЛУЧЕВОЙ (ДВУХКАНАЛЬНЫЙ ДВУХЛУЧЕВОЙ) БИ</t>
  </si>
  <si>
    <t xml:space="preserve">      Подробнее о БИ: краткое описание, выходные сигналы, возможности</t>
  </si>
  <si>
    <t xml:space="preserve">   1. ИБ - Измерительный блок Энконт, нужного исполнения в зависимости от типа и количества подключаемых элементов и с доп.опциями при необходимости, количество  1 шт </t>
  </si>
  <si>
    <t xml:space="preserve"> Адаптер Ethernet</t>
  </si>
  <si>
    <t>РЕЗЬБОВОЙ</t>
  </si>
  <si>
    <t xml:space="preserve"> Преобразователи  </t>
  </si>
  <si>
    <t>УПР_150ФСТ1</t>
  </si>
  <si>
    <t>УПР_200ФСТ1</t>
  </si>
  <si>
    <t>УПР_250ФСТ1</t>
  </si>
  <si>
    <t>УПР_300ФСТ1</t>
  </si>
  <si>
    <t>УПР_350ФСТ1</t>
  </si>
  <si>
    <t>УПР_400ФСТ1</t>
  </si>
  <si>
    <t>УПР_500ФСТ1</t>
  </si>
  <si>
    <t>УПР_600ФСТ1</t>
  </si>
  <si>
    <t>УПР_700ФСТ1</t>
  </si>
  <si>
    <t>УПР_800ФСТ1</t>
  </si>
  <si>
    <t>УПР_900ФСТ1</t>
  </si>
  <si>
    <t>УПР_1000ФСТ1</t>
  </si>
  <si>
    <t>УПР_1200ФСТ1</t>
  </si>
  <si>
    <t>Двухлучевой УПР Ду50 мм, фланцевое присоедин., труба нерж.12Х18Н10Т, фланцы черн.ст20, Рмакс 16 атм, с  ПЭП, Тмакс 120ºС, IP65</t>
  </si>
  <si>
    <t xml:space="preserve">Комплект для  врезки на трубу по месту эксплуатации! Не заказывается, если в комплекте уже есть УПР! </t>
  </si>
  <si>
    <t xml:space="preserve">Комплект для врезки на трубу по месту эксплуатации! Не заказывается, если в комплекте уже есть УПР! </t>
  </si>
  <si>
    <r>
      <t xml:space="preserve">ДВУХЛУЧЕВЫЕ УПР. </t>
    </r>
    <r>
      <rPr>
        <sz val="9"/>
        <rFont val="Arial Cyr"/>
        <charset val="204"/>
      </rPr>
      <t xml:space="preserve">В двухлучевом УПР установлены две пары ПЭП (два луча), которые размещаются на осях, параллельных друг другу и проходящих через   </t>
    </r>
  </si>
  <si>
    <t>равные хорды поперечного сечения УПР. Данное решение позволило повысить точность измерения и сократить длины прямых участков в месте монтажа!</t>
  </si>
  <si>
    <t xml:space="preserve"> УПР, изготовленный в заводских условиях, представляет собой отрезок трубы из стали,  к торцам которого приварены два фланца (фланцевое соединение), </t>
  </si>
  <si>
    <t xml:space="preserve">Эксплуатация  -40...+50 ºС.  </t>
  </si>
  <si>
    <t xml:space="preserve">или отторцован под сварку (бесфланцевое соединение). В средней зоне трубы приварены держатели ПЭП, в которых установлены датчики ПЭП. </t>
  </si>
  <si>
    <t xml:space="preserve">Варианты присоединения к трубопроводу:  фланцевые или бесфланцевые под сварку. </t>
  </si>
  <si>
    <t xml:space="preserve"> ДВУХЛУЧЕВЫЕ УПР, ФЛАНЦЕВЫЕ, НЕРЖ. СТАЛЬ</t>
  </si>
  <si>
    <t xml:space="preserve"> ДВУХЛУЧЕВЫЕ УПР, ФЛАНЦЕВЫЕ, ЧЕРН. СТАЛЬ</t>
  </si>
  <si>
    <t xml:space="preserve"> УПР-050-G двухлуч.</t>
  </si>
  <si>
    <t xml:space="preserve"> УПР-150-G двухлуч.</t>
  </si>
  <si>
    <t xml:space="preserve"> УПР-200-G двухлуч.</t>
  </si>
  <si>
    <t xml:space="preserve"> УПР-250Ф-СТ20 двухлуч. </t>
  </si>
  <si>
    <r>
      <t xml:space="preserve">Акция! </t>
    </r>
    <r>
      <rPr>
        <sz val="8"/>
        <rFont val="Arial Cyr"/>
        <family val="2"/>
        <charset val="204"/>
      </rPr>
      <t xml:space="preserve">Повторитель интерфейса RS485 для расширения сети из приборов или увеличения расстояния передачи данных проводно по интерфейсу RS485.  </t>
    </r>
  </si>
  <si>
    <r>
      <t xml:space="preserve">  </t>
    </r>
    <r>
      <rPr>
        <b/>
        <u/>
        <sz val="14"/>
        <rFont val="Verdana"/>
        <family val="2"/>
        <charset val="204"/>
      </rPr>
      <t>УПР ОДНОЛУЧЕВЫЕ</t>
    </r>
  </si>
  <si>
    <t>упр_двухлуч1_номер2</t>
  </si>
  <si>
    <t xml:space="preserve"> УПР Ду15 мм, резьбовое присоедин., материал трубы нерж.12Х18Н10Т, Рмакс 16 атм, с датчиками ПЭП, Тмакс 120 ºС, IP65</t>
  </si>
  <si>
    <t>Двухлучевой УПР Ду800 мм, фланцевое присоедин., материал черн.сталь20 с покрытием, Рмакс 16 атм, с датчиками ПЭП, Тмакс 150ºС, IP65</t>
  </si>
  <si>
    <t>Двухлучевой УПР Ду150 мм, бесфланц. под сварку, материал черн.сталь20 с покрытием, Рмакс 16 атм, с датчиками ПЭП, Тмакс 150ºС, IP65</t>
  </si>
  <si>
    <t>Двухлучевой УПР Ду200 мм, бесфланц. под сварку, материал черн.сталь20 с покрытием, Рмакс 16 атм, с датчиками ПЭП, Тмакс 150ºС, IP65</t>
  </si>
  <si>
    <t>Двухлучевой УПР Ду250 мм, бесфланц. под сварку, материал черн.сталь20 с покрытием, Рмакс 16 атм, с датчиками ПЭП, Тмакс 150ºС, IP65</t>
  </si>
  <si>
    <t>Двухлучевой УПР Ду300 мм, бесфланц. под сварку, материал черн.сталь20 с покрытием, Рмакс 16 атм, с датчиками ПЭП, Тмакс 150ºС, IP65</t>
  </si>
  <si>
    <t>Двухлучевой УПР Ду350 мм, бесфланц. под сварку, материал черн.сталь20 с покрытием, Рмакс 16 атм, с датчиками ПЭП, Тмакс 150ºС, IP65</t>
  </si>
  <si>
    <t>Двухлучевой УПР Ду400 мм, бесфланц. под сварку, материал черн.сталь20 с покрытием, Рмакс 16 атм, с датчиками ПЭП, Тмакс 150ºС, IP65</t>
  </si>
  <si>
    <t>Двухлучевой УПР Ду500 мм, бесфланц. под сварку, материал черн.сталь20 с покрытием, Рмакс 16 атм, с датчиками ПЭП, Тмакс 150ºС, IP65</t>
  </si>
  <si>
    <t>Двухлучевой УПР Ду600 мм, бесфланц. под сварку, материал черн.сталь20 с покрытием, Рмакс 16 атм, с датчиками ПЭП, Тмакс 150ºС, IP65</t>
  </si>
  <si>
    <t>Двухлучевой УПР Ду700 мм, бесфланц. под сварку, материал черн.сталь20 с покрытием, Рмакс 16 атм, с датчиками ПЭП, Тмакс 150ºС, IP65</t>
  </si>
  <si>
    <t>Двухлучевой УПР Ду800 мм, бесфланц. под сварку, материал черн.сталь20 с покрытием, Рмакс 16 атм, с датчиками ПЭП, Тмакс 150ºС, IP65</t>
  </si>
  <si>
    <t>АС805</t>
  </si>
  <si>
    <t>Опц_ИБП_ЭБ</t>
  </si>
  <si>
    <t>Опц_УВС</t>
  </si>
  <si>
    <t>Опц_вх42</t>
  </si>
  <si>
    <t>Опц_42реверс</t>
  </si>
  <si>
    <t>Опц_Чиреверс</t>
  </si>
  <si>
    <t>Опц_42</t>
  </si>
  <si>
    <t>Опц_RS485</t>
  </si>
  <si>
    <t xml:space="preserve"> Опция "ПЭП +200 ºС IP68"</t>
  </si>
  <si>
    <t>Устанавливаются датчики для высокотемературных жидкостей.  Т макс 200 ºС, герметичные с пылевлагозащитой IP68 (для работы в залитых колодцах)</t>
  </si>
  <si>
    <t xml:space="preserve"> Датчик УЗ ПЭП 3 (+200 ºС) IP68</t>
  </si>
  <si>
    <t xml:space="preserve"> Датчик УЗ ПЭП 6 (+200 ºС) IP68</t>
  </si>
  <si>
    <t xml:space="preserve"> Датчик УЗ ПЭП 3 М</t>
  </si>
  <si>
    <t xml:space="preserve"> Датчик УЗ ПЭП 6 М</t>
  </si>
  <si>
    <t>Комплект датчиков ПЭП на высокотемпературные жидкости. Материал датчика титан. Тмакс 200ºС. Однолуч. Ду80-2000 мм; двухлуч. Ду150-2000 мм. Комплект=2шт. Диаметр датчика 24 мм.</t>
  </si>
  <si>
    <t xml:space="preserve">Блок индикации US800, четыре канала измерения  при присоединении однолучевых УПР (два канала измерения при присоединении двухлучевых УПР),  подключается до 4 шт однолучевых УПР (или до 2 шт двухлучевых УПР). Индикация, Архив, цифровой интерфейс RS485 (ModBus, DCON), гальванически развязанный частотный (0-1000 Гц) /импульсный выход на каждый канал. Возможности: объединение в сеть, подключение GSM-модема, верхний уровень, диспетчеризация; через конвертеры и адаптеры: подключение к ПК, ноутбуку, в сеть Ethernet, вывод информации в систему АСУТП.  Питание 220В/24В пост.тока, блок питания в комплекте. Пылевлагозащита IP54. Эксплуатация в сух.помещении от +5 град.С. </t>
  </si>
  <si>
    <t xml:space="preserve">   4. Дополнительное оборудование и приборы (конвертеры, адаптеры, репитеры, модемы, ноутбуки, шкафы и пр.)</t>
  </si>
  <si>
    <t xml:space="preserve"> А КАКИЕ УПР БЫВАЮТ?</t>
  </si>
  <si>
    <t xml:space="preserve"> Наименование</t>
  </si>
  <si>
    <t xml:space="preserve"> Датчик УЗ ПЭП 3-4  </t>
  </si>
  <si>
    <t xml:space="preserve"> Датчик УЗ ПЭП 6-4  </t>
  </si>
  <si>
    <t xml:space="preserve"> Датчик УЗ ПЭП 3-4 У </t>
  </si>
  <si>
    <t xml:space="preserve"> Датчик УЗ ПЭП 6-4 У </t>
  </si>
  <si>
    <t xml:space="preserve"> Датчик УЗ ПЭП 3-4 IP68</t>
  </si>
  <si>
    <t xml:space="preserve"> Датчик УЗ ПЭП 6-4 IP68</t>
  </si>
  <si>
    <t xml:space="preserve"> Датчик УЗ ПЭП 3-4 IP68 У</t>
  </si>
  <si>
    <t xml:space="preserve"> Датчик УЗ ПЭП 6-4 IP68 У</t>
  </si>
  <si>
    <t xml:space="preserve"> КМЧ-800 однолуч. нерж.</t>
  </si>
  <si>
    <t xml:space="preserve"> совместимы с ЭБ US800-1x, 2x</t>
  </si>
  <si>
    <t>Опция "ИБП"</t>
  </si>
  <si>
    <t>Поверка R (проливным методом)</t>
  </si>
  <si>
    <t>Опция "ШК"</t>
  </si>
  <si>
    <t>Опция "ПП212"</t>
  </si>
  <si>
    <t>Опция "ПЭП +200 ºС"</t>
  </si>
  <si>
    <t>Закажите конвертер "RS485-RS232/USB"!</t>
  </si>
  <si>
    <t xml:space="preserve"> Конвертер RS485/ RS232 </t>
  </si>
  <si>
    <t xml:space="preserve"> УПР-080-G двухлуч.</t>
  </si>
  <si>
    <t xml:space="preserve"> УПР-100-G двухлуч.</t>
  </si>
  <si>
    <t xml:space="preserve"> УПР-400Ф-СТ20 двухлуч. </t>
  </si>
  <si>
    <t xml:space="preserve"> ДВУХЛУЧЕВЫЕ УПР</t>
  </si>
  <si>
    <t xml:space="preserve"> Опция "ПЭП У"</t>
  </si>
  <si>
    <t xml:space="preserve"> Опция "ПЭП IP68"</t>
  </si>
  <si>
    <t xml:space="preserve"> Опция "ПЭП +200 ºС"</t>
  </si>
  <si>
    <t xml:space="preserve"> ЭБ US-800-33</t>
  </si>
  <si>
    <t xml:space="preserve"> модификации (различаются типами вых.сигналов):</t>
  </si>
  <si>
    <r>
      <t xml:space="preserve">  </t>
    </r>
    <r>
      <rPr>
        <b/>
        <u/>
        <sz val="14"/>
        <rFont val="Tahoma"/>
        <family val="2"/>
        <charset val="204"/>
      </rPr>
      <t>ЭЛЕКТРОННЫЕ БЛОКИ US-800 (ЭБ US-800)</t>
    </r>
  </si>
  <si>
    <t>Внимание!</t>
  </si>
  <si>
    <t>Здесь приведена стоимость</t>
  </si>
  <si>
    <t>базовой комплектации.</t>
  </si>
  <si>
    <t xml:space="preserve">безопасность в любых условиях эксплуатации), сетевой фильтр, защита от перегрева, самодиагностика, выбор режимов учета потока, гибко программируется </t>
  </si>
  <si>
    <t xml:space="preserve"> Однолучевой УПР Ду80 мм, фланцевое присоедин., труба нерж.12Х18Н10Т, фланцы черн.ст20, Рмакс 16 атм, с  ПЭП, Тмакс 150ºС, IP65</t>
  </si>
  <si>
    <t xml:space="preserve"> Однолучевой УПР Ду100 мм, фланцевое присоедин., труба нерж.12Х18Н10Т, фланцы черн.ст20, Рмакс 16 атм, с  ПЭП, Тмакс 150ºС, IP65</t>
  </si>
  <si>
    <t xml:space="preserve"> Однолучевой УПР Ду150 мм, фланцевое присоедин., труба нерж.12Х18Н10Т, фланцы черн.ст20, Рмакс 16 атм, с  ПЭП, Тмакс 150ºС, IP65</t>
  </si>
  <si>
    <t xml:space="preserve"> Однолучевой УПР Ду200 мм, фланцевое присоедин., труба нерж.12Х18Н10Т, фланцы черн.ст20, Рмакс 16 атм, с  ПЭП, Тмакс 150ºС, IP65</t>
  </si>
  <si>
    <t xml:space="preserve"> Однолучевой УПР Ду250 мм, фланцевое присоедин., труба нерж.12Х18Н10Т, фланцы черн.ст20, Рмакс 16 атм, с  ПЭП, Тмакс 150ºС, IP65</t>
  </si>
  <si>
    <t>суммируется со стоимостью каждого луча в УПР!</t>
  </si>
  <si>
    <t xml:space="preserve"> УПР-200-СТ20 двухлуч.</t>
  </si>
  <si>
    <t xml:space="preserve"> УПР-015Ф-G</t>
  </si>
  <si>
    <t xml:space="preserve"> УПР-025Ф-G</t>
  </si>
  <si>
    <t xml:space="preserve"> ОДНОЛУЧЕВЫЕ УПР</t>
  </si>
  <si>
    <t xml:space="preserve"> УПР-065-G двухлуч.</t>
  </si>
  <si>
    <t>ПЭП3ФIP68</t>
  </si>
  <si>
    <t>КМЧ800_2</t>
  </si>
  <si>
    <t>КМЧ800_1нерж</t>
  </si>
  <si>
    <t>КМЧ800_2нерж</t>
  </si>
  <si>
    <t>кабели</t>
  </si>
  <si>
    <t>КМЧ800_1гильз</t>
  </si>
  <si>
    <t>РК50</t>
  </si>
  <si>
    <t>КМЧ800_2гильз</t>
  </si>
  <si>
    <t>КММ</t>
  </si>
  <si>
    <t>КМЧ800_1ШК</t>
  </si>
  <si>
    <t>КМЧ800_2ШК</t>
  </si>
  <si>
    <t>ПВС1</t>
  </si>
  <si>
    <t>ПВС2</t>
  </si>
  <si>
    <t>ЭБ</t>
  </si>
  <si>
    <t>БИ</t>
  </si>
  <si>
    <t>ИБ</t>
  </si>
  <si>
    <t>доп оборудование</t>
  </si>
  <si>
    <t>ЭБ10</t>
  </si>
  <si>
    <t>БИ40</t>
  </si>
  <si>
    <t>ИБ2</t>
  </si>
  <si>
    <t>Конверт_USB</t>
  </si>
  <si>
    <t>ЭБ11</t>
  </si>
  <si>
    <t>БИ42</t>
  </si>
  <si>
    <t>ИБ4</t>
  </si>
  <si>
    <t>Конверт_RS232</t>
  </si>
  <si>
    <t>ЭБ12</t>
  </si>
  <si>
    <t>Конверт_Ethernet</t>
  </si>
  <si>
    <t>ЭБ13</t>
  </si>
  <si>
    <t>Опции к БИ</t>
  </si>
  <si>
    <t>Опц_ИБП_ИБ</t>
  </si>
  <si>
    <t>Репит_RS485</t>
  </si>
  <si>
    <t>ЭБ20</t>
  </si>
  <si>
    <t>Опц_ИБП_БИ</t>
  </si>
  <si>
    <t>Нетбук</t>
  </si>
  <si>
    <t>ЭБ21</t>
  </si>
  <si>
    <t>Модем_RS485</t>
  </si>
  <si>
    <t>ЭБ22</t>
  </si>
  <si>
    <t>РК_БИ</t>
  </si>
  <si>
    <t>ЭБ23</t>
  </si>
  <si>
    <t>УФ1_БИ</t>
  </si>
  <si>
    <t>Модем_USB</t>
  </si>
  <si>
    <t>ЭБ30</t>
  </si>
  <si>
    <t>УФ2_БИ</t>
  </si>
  <si>
    <t>ТС1</t>
  </si>
  <si>
    <t>Шкаф_необогр</t>
  </si>
  <si>
    <t>ЭБ31</t>
  </si>
  <si>
    <t>КУФ_БИ</t>
  </si>
  <si>
    <t>ТС2</t>
  </si>
  <si>
    <t>Шкаф_обогр</t>
  </si>
  <si>
    <t>ЭБ32</t>
  </si>
  <si>
    <t>ПД</t>
  </si>
  <si>
    <t>ЭБ33</t>
  </si>
  <si>
    <t>Кювета</t>
  </si>
  <si>
    <t>АС801</t>
  </si>
  <si>
    <t>АС803</t>
  </si>
  <si>
    <t>опции к ЭБ</t>
  </si>
  <si>
    <t xml:space="preserve">                                        с доп.опциями при необходимости,  количество и исполнения в зависимости от возможностей ЭБ, количество 1 шт или 2 шт </t>
  </si>
  <si>
    <r>
      <t xml:space="preserve">  </t>
    </r>
    <r>
      <rPr>
        <b/>
        <u/>
        <sz val="14"/>
        <rFont val="Tahoma"/>
        <family val="2"/>
        <charset val="204"/>
      </rPr>
      <t>УПР ДВУХЛУЧЕВЫЕ</t>
    </r>
  </si>
  <si>
    <t xml:space="preserve"> требуют мин.прямых участков при монтаже </t>
  </si>
  <si>
    <t xml:space="preserve"> отличаются повышенной точностью,</t>
  </si>
  <si>
    <t xml:space="preserve"> УПР-150-G однолуч.</t>
  </si>
  <si>
    <t xml:space="preserve"> УПР-200-G однолуч.</t>
  </si>
  <si>
    <t xml:space="preserve"> Однолучевой УПР Ду600 мм, фланцевое присоедин., материал черн.сталь20 с покрытием, Рмакс 16 атм, с датчиками ПЭП, Тмакс 150 ºС, IP65</t>
  </si>
  <si>
    <t xml:space="preserve"> УПР-500Ф-СТ20 двухлуч.</t>
  </si>
  <si>
    <t xml:space="preserve"> УПР-600Ф-СТ20 двухлуч. </t>
  </si>
  <si>
    <t xml:space="preserve"> УПР-900Ф-СТ20 двухлуч.  </t>
  </si>
  <si>
    <t xml:space="preserve"> УПР-1200Ф-СТ20 двухлуч.</t>
  </si>
  <si>
    <t xml:space="preserve"> УПР-1400Ф-СТ20 двухлуч. </t>
  </si>
  <si>
    <t xml:space="preserve"> УПР-150-СТ20 однолуч. </t>
  </si>
  <si>
    <t xml:space="preserve"> УПР-200-СТ20 однолуч. </t>
  </si>
  <si>
    <t xml:space="preserve"> УПР-250Ф-СТ20 однолуч.  </t>
  </si>
  <si>
    <t xml:space="preserve"> УПР-300Ф-СТ20 однолуч.  </t>
  </si>
  <si>
    <t xml:space="preserve"> УПР-350Ф-СТ20 однолуч.  </t>
  </si>
  <si>
    <t xml:space="preserve"> УПР-400Ф-СТ20 однолуч. </t>
  </si>
  <si>
    <t>ДОПОЛНИТЕЛЬНОЕ ОБОРУДОВАНИЕ ПРИ НЕОБХОДИМОСТИ</t>
  </si>
  <si>
    <t xml:space="preserve">    КОФ -</t>
  </si>
  <si>
    <t>Диаметр усл.,</t>
  </si>
  <si>
    <t xml:space="preserve"> УПР однолуч. </t>
  </si>
  <si>
    <t xml:space="preserve"> материал флан-</t>
  </si>
  <si>
    <t xml:space="preserve"> Однолучевой УПР Ду700 мм, фланцевое присоедин., материал черн.сталь20 с покрытием, Рмакс 16 атм, с датчиками ПЭП, Тмакс 150 ºС, IP65</t>
  </si>
  <si>
    <t xml:space="preserve"> Однолучевой УПР Ду800 мм, фланцевое присоедин., материал черн.сталь20 с покрытием, Рмакс 16 атм, с датчиками ПЭП, Тмакс 150 ºС, IP65</t>
  </si>
  <si>
    <t xml:space="preserve"> Однолучевой УПР Ду900 мм, фланцевое присоедин., материал черн.сталь20 с покрытием, Рмакс 16 атм, с датчиками ПЭП, Тмакс 150 ºС, IP65</t>
  </si>
  <si>
    <t xml:space="preserve"> Однолучевой УПР Ду1000 мм, фланцевое присоедин., материал черн.сталь20 с покрытием, Рмакс 16 атм, с датчиками ПЭП, Тмакс 150 ºС, IP65</t>
  </si>
  <si>
    <t xml:space="preserve"> Однолучевой УПР Ду1200 мм, фланцевое присоедин., материал черн.сталь20 с покрытием, Рмакс 16 атм, с датчиками ПЭП, Тмакс 150 ºС, IP65</t>
  </si>
  <si>
    <t>Двухлучевой УПР Ду1000 мм, бесфланц. под сварку, материал черн.сталь20 с покрытием, Рмакс 16 атм, с датчиками ПЭП, Тмакс 150ºС, IP65</t>
  </si>
  <si>
    <t>Внимание! При расчете кабеля учитывать количество датчиков в УПР (в однолучевом 2 датчика, в двухлучевом 4 датчика)!!</t>
  </si>
  <si>
    <t>Цена за 1 метр, Кабель 50 Ом высокочастотный коаксиальный, соединительный кабель между ЭБ (ИБ) и УПР.</t>
  </si>
  <si>
    <t xml:space="preserve"> УПР</t>
  </si>
  <si>
    <t xml:space="preserve">  1 шт ИБ ЭНКОНТ (4QTP) + 2 шт УПР двухлуч. + 1 пара ТС + кабель (к УПР, ТС)</t>
  </si>
  <si>
    <t xml:space="preserve">  1 шт ИБ ЭНКОНТ (4QTP) + 4 шт УПР однолуч. + 2 пары ТС + кабель (к УПР, ТС) </t>
  </si>
  <si>
    <t xml:space="preserve">  1 шт ИБ ЭНКОНТ (2QTP) + 2 шт УПР однолуч. + 1 пара ТС + кабель (к УПР, ТС) </t>
  </si>
  <si>
    <t xml:space="preserve">  1 шт ИБ ЭНКОНТ (2QTP) + 1 шт УПР однолуч. + 1 пара ТС + кабель (к УПР, ТС)</t>
  </si>
  <si>
    <t xml:space="preserve">Представляет собой пластиковый приборный корпус для настенного монтажа, пылевлагозащита IP65, эксплуатация от +5 ºС, стандартно питание 220В,50Гц.   </t>
  </si>
  <si>
    <t xml:space="preserve">Опция "25 атм" </t>
  </si>
  <si>
    <t>Поверка и настройка по эталонному расходомеру на проливной установке (только для воды!). Только для Ду15-80 мм!</t>
  </si>
  <si>
    <t>ПП212_68</t>
  </si>
  <si>
    <t>ПЭП3_200_68</t>
  </si>
  <si>
    <t>ПЭП6_200_68</t>
  </si>
  <si>
    <t>35000 /луч</t>
  </si>
  <si>
    <t>Опция "18-36В + ИБП"</t>
  </si>
  <si>
    <t>Устанавливается адаптер для питания ЭБ пост.током 18-24-36В и выносной аккумулятор (ИБП) для бесперебойного питания ЭБ при отключении питающего напряжения, автоподзаряд.</t>
  </si>
  <si>
    <t xml:space="preserve">Материалы проточной части УПР: нержавеющая 12Х18Н10Т или черная сталь20.     </t>
  </si>
  <si>
    <t>Внимание! Все фланцы из черн.сталь20!</t>
  </si>
  <si>
    <t xml:space="preserve">   2. УПР или КМЧ - Ультразвуковой преобразователь расхода или комплект монтажных частей для монтажа на трубу по месту эксплуатации, с доп.опциями при необходимости,</t>
  </si>
  <si>
    <t xml:space="preserve"> Опция "4-20 мА реверс"          </t>
  </si>
  <si>
    <t xml:space="preserve"> Опция "ЧИ реверс"          </t>
  </si>
  <si>
    <t xml:space="preserve"> КОМПЛЕКТ НА ОДИН УПР!</t>
  </si>
  <si>
    <t xml:space="preserve">Распределительная коробка для исполнения US800-4X. Предназначена для разводки цепей питания и интерфейса от общей шины на УФ и последующие РК.  Максимальное кол-во обслуживаемых УФ: однолуч.-4 шт/ двухлуч -2шт. Материал распределительной коробки, кабельных вводов - пластик. Пылевлагозащита IP65. Размещение при Т окр.среды -40..+60 град.С </t>
  </si>
  <si>
    <t xml:space="preserve"> GSM-модем (USB)</t>
  </si>
  <si>
    <t xml:space="preserve"> Репитер RS485/ RS485 </t>
  </si>
  <si>
    <r>
      <t xml:space="preserve">АКЦИЯ! </t>
    </r>
    <r>
      <rPr>
        <sz val="9"/>
        <rFont val="Arial"/>
        <family val="2"/>
        <charset val="204"/>
      </rPr>
      <t>GSM-модем в полном комплекте (комплект: модем, антенна), интерфейс USB, для диспетчерского ПК.</t>
    </r>
  </si>
  <si>
    <r>
      <t xml:space="preserve">АКЦИЯ! </t>
    </r>
    <r>
      <rPr>
        <sz val="9"/>
        <rFont val="Arial"/>
        <family val="2"/>
        <charset val="204"/>
      </rPr>
      <t>Преобразователь в сеть Ethernet, сетевой разъемом RJ45.</t>
    </r>
  </si>
  <si>
    <t xml:space="preserve"> Цена для одной </t>
  </si>
  <si>
    <t xml:space="preserve"> трубы!</t>
  </si>
  <si>
    <t xml:space="preserve"> упаковка</t>
  </si>
  <si>
    <t>ЯЩ</t>
  </si>
  <si>
    <t>ЯЩ. -</t>
  </si>
  <si>
    <t xml:space="preserve">            Цена, руб, без НДС</t>
  </si>
  <si>
    <t xml:space="preserve"> Описание</t>
  </si>
  <si>
    <t xml:space="preserve">                           </t>
  </si>
  <si>
    <t xml:space="preserve"> ИБ ЭНКОНТ 2QTP </t>
  </si>
  <si>
    <t xml:space="preserve"> ИБ ЭНКОНТ 4QTP </t>
  </si>
  <si>
    <t xml:space="preserve"> Наименование                            Цена, руб, без НДС</t>
  </si>
  <si>
    <t xml:space="preserve"> Наименование                                             Цена, руб, без НДС</t>
  </si>
  <si>
    <t xml:space="preserve"> Описание  </t>
  </si>
  <si>
    <t xml:space="preserve"> УПР двухлуч </t>
  </si>
  <si>
    <t xml:space="preserve"> КМЧ- не заказывается, если в комплекте есть УПР!</t>
  </si>
  <si>
    <t xml:space="preserve"> КМЧ не заказывается, если в комплекте есть УПР!</t>
  </si>
  <si>
    <r>
      <t xml:space="preserve"> </t>
    </r>
    <r>
      <rPr>
        <b/>
        <u/>
        <sz val="9"/>
        <rFont val="Arial Cyr"/>
        <charset val="204"/>
      </rPr>
      <t>За эту цену комплектация:</t>
    </r>
  </si>
  <si>
    <t>За эту цену комплектация:</t>
  </si>
  <si>
    <t xml:space="preserve"> ИБ-ЭНКОНТ (2QTP) - 1 шт</t>
  </si>
  <si>
    <t xml:space="preserve"> ИБ-ЭНКОНТ (4QTP) - 1 шт</t>
  </si>
  <si>
    <t xml:space="preserve"> стандартное исполнение</t>
  </si>
  <si>
    <t xml:space="preserve"> ЭБ  US-800-10-P</t>
  </si>
  <si>
    <t xml:space="preserve"> ЭБ  US-800-11-P-RS485-A</t>
  </si>
  <si>
    <t xml:space="preserve"> ЭБ  US-800-12-P-42</t>
  </si>
  <si>
    <t xml:space="preserve"> ЭБ  US-800-13-P-42-RS485-A</t>
  </si>
  <si>
    <t xml:space="preserve"> Мининоутбук (нетбук)</t>
  </si>
  <si>
    <t>УЛЬТРАЗВУКОВОЙ ТЕПЛОСЧЕТЧИК ЭНКОНТ ПО КОМПЛЕКТАМ</t>
  </si>
  <si>
    <t>фл_упр_двухлуч1_цена</t>
  </si>
  <si>
    <t>ящ_упр_двухлуч1_цена</t>
  </si>
  <si>
    <t>фл_упр_однолуч1_цена</t>
  </si>
  <si>
    <t>ящ_упр_однолуч1_цена</t>
  </si>
  <si>
    <t>упр_однолуч1_номер2</t>
  </si>
  <si>
    <t>Комплект датчиков ПЭП на высокотемпературные жидкости. Ремкоплект. Материал датчика титан. Тмакс 200ºС. Однолуч. Ду15-65 мм; двухлуч. Ду50-100 мм. Комплект=2шт. Диаметр датчика 14 мм.</t>
  </si>
  <si>
    <t>Комплект датчиков ПЭП, на агрессивные жидкости. Материал датчика кислотостойкая сталь. Тмакс 120ºС. Однолуч. Ду80-2000 мм; двухлуч. Ду150-2000 мм. Комплект=2шт. Диаметр датчика 24 мм.</t>
  </si>
  <si>
    <t>Комплект датчиков ПЭП, с гайкой на оси (ремкомплект). Разъем Hirschmann, IP65. Материал датчика титан. Тмакс 120ºС. Однолуч. Ду15-65 мм; двухлуч. Ду50-100 мм. Комплект=2шт. Диаметр датчика 14 мм.</t>
  </si>
  <si>
    <t>Комплект ПЭП  с герметичным разъемом IP68 для залитых колодцев, работы на глубине, в земле. Материал датчика титан. Тмакс 150ºС. Однолуч. Ду80-2000 мм; двухлуч. Ду150-2000 мм. Комплект=2шт. Диаметр датчика 24 мм.</t>
  </si>
  <si>
    <t>Комплект ПЭП с гайкой на оси (ремкомплект) с герметичн.разъемом IP68 для залитых колодцев и пр.  Материал датчика титан. Тмакс 120ºС. Однолуч. Ду15-65 мм; двухлуч. Ду50-100 мм. Комплект=2шт. Диаметр датчика 14 мм.</t>
  </si>
  <si>
    <t xml:space="preserve">Стандартный комплект датчиков ПЭП. Удобный разъем Hirschmann, IP65. Материал датчика титан. Тмакс 150ºС. Однолуч. Ду80-2000 мм; двухлуч. Ду150-2000 мм. Комплект=2шт. Диаметр датчика 24мм. </t>
  </si>
  <si>
    <t>Комплект датчиков ПЭП, на агрессивные жидкости. Материал датчика кислотостойкая сталь. Ремкомплект. Тмакс 120ºС. Тмакс 120ºС. Однолуч. Ду15-65 мм; двухлуч. Ду50-100 мм. Комплект=2шт. Диаметр датчика 14 мм.</t>
  </si>
  <si>
    <t xml:space="preserve"> Опция "ПЭП М"</t>
  </si>
  <si>
    <t>Устанавливаются датчики из кислотостойкой стали для агрессивный сред (кислот, щелочей). Т макс 120 ºС.</t>
  </si>
  <si>
    <t>Поверка и настройка комплекта расходомера по эталонному расходомеру на проливной установке (только для воды!). Только для Ду15-80 мм!</t>
  </si>
  <si>
    <t>Опц_ПП212_68</t>
  </si>
  <si>
    <t>28000 /луч</t>
  </si>
  <si>
    <t>Опц_200_68</t>
  </si>
  <si>
    <t xml:space="preserve">Устанавливается герметичный датчик с защитой IP68, для работы в залитых колодцах, на глубине, в земле.  Пылевлагозащита IP68.  </t>
  </si>
  <si>
    <t xml:space="preserve">Устанавливается датчик для высокотемпературных жидкостей. Т макс 200 ºС.  </t>
  </si>
  <si>
    <t>Опция "ПП212 IP68"</t>
  </si>
  <si>
    <t>Опция "ПЭП +200 ºС IP68"</t>
  </si>
  <si>
    <t>Устанавливается датчик для высокотемпературных жидкостей. Т макс 200 ºС. C герметичным разъемом пылевлагозащитой IP68.</t>
  </si>
  <si>
    <t>Опция "Нестандартная жидкость"</t>
  </si>
  <si>
    <t xml:space="preserve"> Опция "нестандартн. жидк."</t>
  </si>
  <si>
    <t xml:space="preserve"> Опция "Нестандартная жидкость"</t>
  </si>
  <si>
    <t>_нестанд</t>
  </si>
  <si>
    <r>
      <t xml:space="preserve"> </t>
    </r>
    <r>
      <rPr>
        <b/>
        <u/>
        <sz val="9"/>
        <color indexed="62"/>
        <rFont val="Arial Cyr"/>
        <charset val="204"/>
      </rPr>
      <t>За приведенную цену комплектация:</t>
    </r>
  </si>
  <si>
    <r>
      <t xml:space="preserve">                                </t>
    </r>
    <r>
      <rPr>
        <b/>
        <u/>
        <sz val="14"/>
        <rFont val="Verdana"/>
        <family val="2"/>
        <charset val="204"/>
      </rPr>
      <t>СОЕДИНИТЕЛЬНЫЙ КАБЕЛЬ</t>
    </r>
  </si>
  <si>
    <t>Опция "18-36В"</t>
  </si>
  <si>
    <t xml:space="preserve">Устанавливается адаптер для возможности питания ЭБ постоянным током напряжением 18-24-36В. Источник питания в комплект не входит! </t>
  </si>
  <si>
    <t>Опц_USB</t>
  </si>
  <si>
    <t>Опц_220</t>
  </si>
  <si>
    <t xml:space="preserve"> УПР-020-G</t>
  </si>
  <si>
    <t xml:space="preserve"> УПР Ду20 мм, резьбовое присоедин., материал трубы нерж.12Х18Н10Т, Рмакс 16 атм, с датчиками ПЭП, Тмакс 120 ºС, IP65</t>
  </si>
  <si>
    <t xml:space="preserve"> УПР-020Ф-G</t>
  </si>
  <si>
    <t xml:space="preserve"> УПР Ду20 мм, фланцевое присоедин., материал трубы нерж.12Х18Н10Т, фланцы черн.ст20, Рмакс 16 атм, с датчиками ПЭП, Тмакс 120ºС, IP65</t>
  </si>
  <si>
    <t xml:space="preserve"> УПР-125-G однолуч.</t>
  </si>
  <si>
    <t xml:space="preserve"> УПР-125-СТ20 однолуч. </t>
  </si>
  <si>
    <t xml:space="preserve"> Однолучевой УПР Ду125 мм, фланцевое присоедин., материал черн.сталь20 с покрытием, Рмакс 16 атм, с датчиками ПЭП, Тмакс 150 ºС, IP65</t>
  </si>
  <si>
    <t xml:space="preserve"> Однолучевой УПР Ду1600 мм, фланцевое присоедин., материал черн.сталь20 с покрытием, Рмакс 16 атм, с датчиками ПЭП, Тмакс 150 ºС, IP65</t>
  </si>
  <si>
    <t xml:space="preserve"> УПР-1600БФ-СТ20 однолуч.   </t>
  </si>
  <si>
    <t>Однолучевой УПР Ду1600 мм, бесфланц. под сварку, материал черн.сталь20 с покрытием, Рмакс 16 атм, с датчиками ПЭП, Тмакс 150 ºС, IP65</t>
  </si>
  <si>
    <t xml:space="preserve"> УПР-125-G двухлуч.</t>
  </si>
  <si>
    <t>Двухлучевой УПР Ду125 мм, фланцевое присоедин., труба нерж.12Х18Н10Т, фланцы черн.ст20, Рмакс 16 атм, с  ПЭП, Тмакс 120ºС, IP65</t>
  </si>
  <si>
    <t xml:space="preserve"> УПР-125-СТ20 двухлуч. </t>
  </si>
  <si>
    <t xml:space="preserve"> УПР-150-СТ20 двухлуч.</t>
  </si>
  <si>
    <t xml:space="preserve"> УПР-125БФ-СТ20 однолуч. </t>
  </si>
  <si>
    <t>Однолучевой УПР Ду125 мм, бесфланц. под сварку, материал черн.сталь20 с покрытием, Рмакс 16 атм, с датчиками ПЭП, Тмакс 150 ºС, IP65</t>
  </si>
  <si>
    <t xml:space="preserve"> УПР-125БФ-СТ20 двухлуч. </t>
  </si>
  <si>
    <t xml:space="preserve"> УПР-150БФ-СТ20 двухлуч.</t>
  </si>
  <si>
    <t>Двухлучевой УПР Ду125 мм, бесфланц. под сварку, материал черн.сталь20 с покрытием, Рмакс 16 атм, с датчиками ПЭП, Тмакс 120ºС, IP65</t>
  </si>
  <si>
    <t xml:space="preserve"> УПР-1400БФ-СТ20 двухлуч. </t>
  </si>
  <si>
    <t xml:space="preserve"> УПР-1600БФ-СТ20 двухлуч.   </t>
  </si>
  <si>
    <t>Двухлучевой УПР Ду1600 мм, бесфланц. под сварку, материал черн.сталь20 с покрытием, Рмакс 16 атм, с датчиками ПЭП, Тмакс 150ºС, IP65</t>
  </si>
  <si>
    <t xml:space="preserve"> 15-32          резьбовое                 нерж.сталь</t>
  </si>
  <si>
    <t xml:space="preserve"> 50-1000        фланцевое           нерж.сталь</t>
  </si>
  <si>
    <t xml:space="preserve"> 125-1400      фланцевое           сталь20</t>
  </si>
  <si>
    <t xml:space="preserve"> 125-1400     фланцевое                сталь20</t>
  </si>
  <si>
    <t xml:space="preserve"> УПР-350Ф-G однолуч.</t>
  </si>
  <si>
    <t xml:space="preserve"> УПР-400Ф-G однолуч.</t>
  </si>
  <si>
    <t xml:space="preserve"> УПР-500Ф-G однолуч.</t>
  </si>
  <si>
    <t xml:space="preserve"> УПР-600Ф-G однолуч.</t>
  </si>
  <si>
    <t xml:space="preserve"> УПР-700Ф-G однолуч.</t>
  </si>
  <si>
    <t xml:space="preserve"> УПР-800Ф-G однолуч.</t>
  </si>
  <si>
    <t xml:space="preserve"> УПР-900Ф-G однолуч.</t>
  </si>
  <si>
    <t xml:space="preserve"> УПР-1000Ф-G однолуч.</t>
  </si>
  <si>
    <t>УПР_1000ФГ1</t>
  </si>
  <si>
    <t>УПР_1000ФГ2</t>
  </si>
  <si>
    <t>КСС2Э</t>
  </si>
  <si>
    <t>КСС4Э</t>
  </si>
  <si>
    <t>Опция "ПЭП М"</t>
  </si>
  <si>
    <t xml:space="preserve">Устанавливаются кислостойкие датчики  для агрессивных сред: кислот, щелочей и т.п. Т макс 120ºС. </t>
  </si>
  <si>
    <t xml:space="preserve"> Датчик УЗ ПЭП 3 (+220 ºС) </t>
  </si>
  <si>
    <t xml:space="preserve"> Датчик УЗ ПЭП 6 (+220 ºС)  </t>
  </si>
  <si>
    <t>ПЭП3_220</t>
  </si>
  <si>
    <t>ПЭП6_220</t>
  </si>
  <si>
    <t>43750 /луч</t>
  </si>
  <si>
    <t>Комплект датчиков ПЭП на высокотемпературные жидкости. Материал датчика титан. Тмакс 220ºС. Однолуч. Ду80-2000 мм; двухлуч. Ду150-2000 мм. Комплект=2шт. Диаметр датчика 24 мм.</t>
  </si>
  <si>
    <t>Комплект датчиков ПЭП на высокотемпературные жидкости. Ремкоплект. Материал датчика титан. Тмакс 220ºС. Однолуч. Ду15-65 мм; двухлуч. Ду50-100 мм. Комплект=2шт. Диаметр датчика 14 мм.</t>
  </si>
  <si>
    <t xml:space="preserve"> Опция "ПЭП +220 ºС"</t>
  </si>
  <si>
    <t>Устанавливаются датчики для высокотемературных жидкостей.  Т макс 220 ºС.</t>
  </si>
  <si>
    <t xml:space="preserve"> Опции "25 атм", "40 атм", "60 атм",   "100 атм", "160 атм", "250 атм"</t>
  </si>
  <si>
    <t>Изготавливаются УПР на более высокие давления до 25 атм (2.5 МПа), до 40 атм (4 МПа), до 60 атм (6 МПа), до 100 атм (10 МПа), до 160 атм (16 МПа), до 250 атм (25 МПа)Стоимость по запросу. Для всех Ду.</t>
  </si>
  <si>
    <t xml:space="preserve"> Кабель КСС2Э  наружн./внутр.</t>
  </si>
  <si>
    <t xml:space="preserve"> Кабель КСС4Э  наружн./внутр.</t>
  </si>
  <si>
    <t xml:space="preserve"> Опция "18-36В"</t>
  </si>
  <si>
    <t xml:space="preserve">Устанавливается адаптер для возможности питания ЭБ постоянным током напряжением 18-24-36В. Все исполнения ЭБ. Источник питания в стомость не входит! </t>
  </si>
  <si>
    <r>
      <t xml:space="preserve">Только для специалистов! Только в  US800-11! </t>
    </r>
    <r>
      <rPr>
        <sz val="8"/>
        <rFont val="Arial Cyr"/>
        <charset val="204"/>
      </rPr>
      <t>Релейный выход, срабатывающий при понижении заданного расхода</t>
    </r>
  </si>
  <si>
    <r>
      <t xml:space="preserve">Только для специалистов! Только в  US800-11! </t>
    </r>
    <r>
      <rPr>
        <sz val="8"/>
        <rFont val="Arial Cyr"/>
        <charset val="204"/>
      </rPr>
      <t>Релейный выход, срабатывающий при повышении заданного расхода</t>
    </r>
  </si>
  <si>
    <t xml:space="preserve"> КОФ для УПР Ду 20  </t>
  </si>
  <si>
    <t xml:space="preserve"> * по заказу из нерж. стали 12Х18Н10Т (Ду 15-1000 мм).</t>
  </si>
  <si>
    <r>
      <t xml:space="preserve">Двухканальный - </t>
    </r>
    <r>
      <rPr>
        <sz val="9"/>
        <rFont val="Arial Cyr"/>
        <charset val="204"/>
      </rPr>
      <t>имеет два независимых канала измерения</t>
    </r>
    <r>
      <rPr>
        <b/>
        <sz val="9"/>
        <rFont val="Arial Cyr"/>
        <charset val="204"/>
      </rPr>
      <t xml:space="preserve"> (только однолучевой</t>
    </r>
    <r>
      <rPr>
        <sz val="9"/>
        <rFont val="Arial Cyr"/>
        <charset val="204"/>
      </rPr>
      <t xml:space="preserve"> - подсоединяется до 2 шт однолучевых УПР</t>
    </r>
    <r>
      <rPr>
        <b/>
        <sz val="9"/>
        <rFont val="Arial Cyr"/>
        <charset val="204"/>
      </rPr>
      <t>)</t>
    </r>
  </si>
  <si>
    <t xml:space="preserve"> ЭБ  US-800-30-P</t>
  </si>
  <si>
    <t xml:space="preserve"> ЭБ  US-800-31-P-RS485-A</t>
  </si>
  <si>
    <t xml:space="preserve"> ЭБ  US-800-32-P-42</t>
  </si>
  <si>
    <t xml:space="preserve"> ЭБ  US-800-33-P-42-RS485-A</t>
  </si>
  <si>
    <t xml:space="preserve"> ЭБ  US-800-20-P</t>
  </si>
  <si>
    <t xml:space="preserve"> ЭБ  US-800-21-P-RS485-A</t>
  </si>
  <si>
    <t xml:space="preserve"> ЭБ  US-800-22-P-42/42</t>
  </si>
  <si>
    <t xml:space="preserve">Будете выводить архив на ПК, ноутбук? </t>
  </si>
  <si>
    <t xml:space="preserve">Внимание! Цена 1 - для комплектов с УПР! Цена 2 - для комплектов без УПР или  комплектующих отдельно!  Все цены в рублях, БЕЗ НДС! </t>
  </si>
  <si>
    <t xml:space="preserve">Внимание! Цена 1 - для комплектов с УПР! Цена 2 - для комплектов без УПР!  Все цены в рублях, БЕЗ НДС! </t>
  </si>
  <si>
    <t>цена 2</t>
  </si>
  <si>
    <t>цена 1</t>
  </si>
  <si>
    <t>УПР-015-G однолуч. нерж. резьбовой</t>
  </si>
  <si>
    <t>УПР-015Ф-G однолуч. нерж. фланцевый</t>
  </si>
  <si>
    <t>УПР-025-G однолуч. нерж. резьбовой</t>
  </si>
  <si>
    <t xml:space="preserve"> 3. Доставка по РФ транспортными компаниями (Деловые Линии, Желдорэкспедиция и др.), авто, ж/д, курьером, почтой, а также другими видами транспорта.  </t>
  </si>
  <si>
    <t xml:space="preserve">Внимание! Цена 1 - для комплектов с УПР! Цена 2 - для комплектов без УПР!   Все цены в рублях, БЕЗ НДС! </t>
  </si>
  <si>
    <t xml:space="preserve">                                         количество и исполнения в зависимости от возможностей ИБ, количество до 2-4 шт </t>
  </si>
  <si>
    <t xml:space="preserve">   4. ПД - Преобразователи давления - количество до 2-4 шт, в зависимости от возможностей ИБ (Заказываются при необходимости!)</t>
  </si>
  <si>
    <t xml:space="preserve">   6. Кабель КСПЭВГ или аналогичн. - соединительный между ТС / ПД и ИБ, длина от 5 до 200 м к каждому датчику</t>
  </si>
  <si>
    <r>
      <t xml:space="preserve">  </t>
    </r>
    <r>
      <rPr>
        <b/>
        <u/>
        <sz val="14"/>
        <rFont val="Tahoma"/>
        <family val="2"/>
        <charset val="204"/>
      </rPr>
      <t>ИЗМЕРИТЕЛЬНЫЕ БЛОКИ ТЕПЛОРЕГИСТРАТОРА ЭНКОНТ (ИБ ЭНКОНТ)</t>
    </r>
  </si>
  <si>
    <t>суммируется со стоимостью соответствующего электронного блока!</t>
  </si>
  <si>
    <t xml:space="preserve">   1. БИ - Блок индикации US800-4Х, нужного исполнения с доп.опциями при необходимости, количество  1 шт </t>
  </si>
  <si>
    <t xml:space="preserve">                                         количество и исполнения в зависимости от возможностей БИ, количество 1-4 шт (однолучевые) или 1-2 шт (двухлучевые).</t>
  </si>
  <si>
    <t xml:space="preserve"> ДВУХЛУЧЕВЫЕ УПР, БЕСФЛАНЦЕВЫЕ ПОД СВАРКУ, ЧЕРН. СТАЛЬ</t>
  </si>
  <si>
    <t>250-</t>
  </si>
  <si>
    <t>Двухлучевой УПР Ду900 мм, бесфланц. под сварку, материал черн.сталь20 с покрытием, Рмакс 16 атм, с датчиками ПЭП, Тмакс 150ºС, IP65</t>
  </si>
  <si>
    <t>Материал УПР</t>
  </si>
  <si>
    <t>2 шт</t>
  </si>
  <si>
    <t>4 шт</t>
  </si>
  <si>
    <t xml:space="preserve"> Термосопротивления с гильзами</t>
  </si>
  <si>
    <r>
      <t xml:space="preserve">  </t>
    </r>
    <r>
      <rPr>
        <b/>
        <u/>
        <sz val="14"/>
        <rFont val="Tahoma"/>
        <family val="2"/>
        <charset val="204"/>
      </rPr>
      <t>ОПЦИИ К ИЗМЕРИТЕЛЬНЫМ БЛОКАМ</t>
    </r>
  </si>
  <si>
    <t>суммируется со стоимостью соответствующего измерительного блока!</t>
  </si>
  <si>
    <t xml:space="preserve"> УПР-500Ф-СТ20 однолуч. </t>
  </si>
  <si>
    <t xml:space="preserve"> УПР-600Ф-СТ20 однолуч.     </t>
  </si>
  <si>
    <t xml:space="preserve"> УПР-700Ф-СТ20 однолуч.  </t>
  </si>
  <si>
    <r>
      <t xml:space="preserve">Одноканальный </t>
    </r>
    <r>
      <rPr>
        <sz val="9"/>
        <rFont val="Arial Cyr"/>
        <charset val="204"/>
      </rPr>
      <t>- имеет один канал измерения</t>
    </r>
    <r>
      <rPr>
        <b/>
        <sz val="9"/>
        <rFont val="Arial Cyr"/>
        <charset val="204"/>
      </rPr>
      <t xml:space="preserve"> (однолучевой </t>
    </r>
    <r>
      <rPr>
        <sz val="9"/>
        <rFont val="Arial Cyr"/>
        <charset val="204"/>
      </rPr>
      <t>- подсоединяется 1 шт однолучевой УПР</t>
    </r>
    <r>
      <rPr>
        <b/>
        <sz val="9"/>
        <rFont val="Arial Cyr"/>
        <charset val="204"/>
      </rPr>
      <t xml:space="preserve">, двухлучевой </t>
    </r>
    <r>
      <rPr>
        <sz val="9"/>
        <rFont val="Arial Cyr"/>
        <charset val="204"/>
      </rPr>
      <t>- подсоединяется 1 шт двухлучевой УПР</t>
    </r>
    <r>
      <rPr>
        <b/>
        <sz val="9"/>
        <rFont val="Arial Cyr"/>
        <charset val="204"/>
      </rPr>
      <t xml:space="preserve">). </t>
    </r>
  </si>
  <si>
    <t xml:space="preserve">   8. Дополнительное оборудование и приборы (конвертеры, репитеры, модемы, ноутбуки, шкафы и пр.), не являющиеся средством измерения.</t>
  </si>
  <si>
    <r>
      <t xml:space="preserve">Двухканальный </t>
    </r>
    <r>
      <rPr>
        <sz val="9"/>
        <rFont val="Arial Cyr"/>
        <charset val="204"/>
      </rPr>
      <t>- имеет два канал измерения</t>
    </r>
    <r>
      <rPr>
        <b/>
        <sz val="9"/>
        <rFont val="Arial Cyr"/>
        <charset val="204"/>
      </rPr>
      <t xml:space="preserve"> </t>
    </r>
    <r>
      <rPr>
        <sz val="9"/>
        <rFont val="Arial Cyr"/>
        <charset val="204"/>
      </rPr>
      <t>(подсоединяется до 2 шт однолучевых УПР).</t>
    </r>
    <r>
      <rPr>
        <b/>
        <sz val="9"/>
        <rFont val="Arial Cyr"/>
        <charset val="204"/>
      </rPr>
      <t xml:space="preserve"> </t>
    </r>
  </si>
  <si>
    <t>ТЕРМОСОПРОТИВЛЕНИЯ (ТС)</t>
  </si>
  <si>
    <t>ПРЕОБРАЗОВАТЕЛИ ДАВЛЕНИЯ (ПД)</t>
  </si>
  <si>
    <t>КАБЕЛЬ К ТС, ПД</t>
  </si>
  <si>
    <t xml:space="preserve"> Кабель КСПЭВГ (4х0.2) </t>
  </si>
  <si>
    <t xml:space="preserve"> или аналогичный</t>
  </si>
  <si>
    <t xml:space="preserve"> Преобразователь давления</t>
  </si>
  <si>
    <t xml:space="preserve"> Опция "4-20 мА + ЧИ-выходы"</t>
  </si>
  <si>
    <r>
      <t xml:space="preserve">Акция! </t>
    </r>
    <r>
      <rPr>
        <sz val="8"/>
        <rFont val="Arial Cyr"/>
        <charset val="204"/>
      </rPr>
      <t>Мининоутбук (нетбук) с WIN для сбора данных с US-800, Энконтов, ПО установлено.                                                                                                              Внимание! Для подключения к расходомеру/теплосчетчику требуется приобрести конвертер RS485-RS232 в USВ!</t>
    </r>
  </si>
  <si>
    <t xml:space="preserve">  Цена за 1 комплект, в однолучевой нужно 1 комплект, в двухлучевой нужно 2 комплекта! </t>
  </si>
  <si>
    <t xml:space="preserve">  Внимание! Стандартные ПЭП уже установлены в УПР, т.е. при заказе с УПР учитывать стоимость ПЭП не нужно!</t>
  </si>
  <si>
    <t xml:space="preserve">ЭБ выпускается в помехозащищенном исполнении: гальваническая развязка от трубы, гальв.разязанные выходные сигналы (защита от помех, наводок и т.п., </t>
  </si>
  <si>
    <t>под различные условия эксплуатации.</t>
  </si>
  <si>
    <t xml:space="preserve"> ОДНОКАНАЛЬНЫЙ ОДНОЛУЧЕВОЙ ЭБ</t>
  </si>
  <si>
    <t xml:space="preserve"> Датчик УЗ ПЭП 3 (+200 ºС)</t>
  </si>
  <si>
    <t xml:space="preserve"> Датчик УЗ ПЭП 6 (+200 ºС)</t>
  </si>
  <si>
    <t xml:space="preserve">Вся продукция сертифицирована (сертификаты России и Казахстана). </t>
  </si>
  <si>
    <t xml:space="preserve">Основные объекты внедрения:  теплосети, энергетические объекты (ЦТП, ТЭЦ, котельные), объекты ЖКХ, металлургические, нефтехимические и др. промышленные </t>
  </si>
  <si>
    <t xml:space="preserve"> КОФ - комплекты ответных фланцев, крепежа, прокладок </t>
  </si>
  <si>
    <t xml:space="preserve"> КОФ для УПР Ду 25     </t>
  </si>
  <si>
    <t xml:space="preserve"> КОФ для УПР Ду 32    </t>
  </si>
  <si>
    <t xml:space="preserve"> КОФ для УПР Ду 40     </t>
  </si>
  <si>
    <t xml:space="preserve"> КОФ для УПР Ду 65     </t>
  </si>
  <si>
    <t xml:space="preserve"> КОФ для УПР Ду 100     </t>
  </si>
  <si>
    <t xml:space="preserve"> КОФ для УПР Ду 250     </t>
  </si>
  <si>
    <t xml:space="preserve"> КОФ для УПР Ду 400     </t>
  </si>
  <si>
    <t xml:space="preserve"> КОФ для УПР Ду 500    </t>
  </si>
  <si>
    <t xml:space="preserve"> КОФ для УПР Ду 600     </t>
  </si>
  <si>
    <t xml:space="preserve"> КОФ для УПР Ду 700     </t>
  </si>
  <si>
    <t xml:space="preserve"> КОФ для УПР Ду 900     </t>
  </si>
  <si>
    <t>Однолучевой УПР Ду150 мм, бесфланц. под сварку, материал черн.сталь20 с покрытием, Рмакс 16 атм, с датчиками ПЭП, Тмакс 150 ºС, IP65</t>
  </si>
  <si>
    <t>Однолучевой УПР Ду200 мм, бесфланц. под сварку, материал черн.сталь20 с покрытием, Рмакс 16 атм, с датчиками ПЭП, Тмакс 150 ºС, IP65</t>
  </si>
  <si>
    <t>Однолучевой УПР Ду250 мм, бесфланц. под сварку, материал черн.сталь20 с покрытием, Рмакс 16 атм, с датчиками ПЭП, Тмакс 150 ºС, IP65</t>
  </si>
  <si>
    <t>Однолучевой УПР Ду300 мм, бесфланц. под сварку, материал черн.сталь20 с покрытием, Рмакс 16 атм, с датчиками ПЭП, Тмакс 150 ºС, IP65</t>
  </si>
  <si>
    <t>ПЭП IP68</t>
  </si>
  <si>
    <t>ПЭП У</t>
  </si>
  <si>
    <t>ПЭП IP68 + ПЭП У</t>
  </si>
  <si>
    <t>ШК</t>
  </si>
  <si>
    <t>ШК + ПЭП У</t>
  </si>
  <si>
    <t>ШК + ПЭП У + IP68</t>
  </si>
  <si>
    <t>ШК + ПЭП 200 град.С</t>
  </si>
  <si>
    <t>ПЭП 200 град.С</t>
  </si>
  <si>
    <t>опцУПР1_номер</t>
  </si>
  <si>
    <t xml:space="preserve">опцУПР1 </t>
  </si>
  <si>
    <t>опцУПР1_цена</t>
  </si>
  <si>
    <t>ТС_номер</t>
  </si>
  <si>
    <t>ТС_цена</t>
  </si>
  <si>
    <t>ПД_номер</t>
  </si>
  <si>
    <t>опИБ_номер</t>
  </si>
  <si>
    <t>опИБ</t>
  </si>
  <si>
    <t>опИБ_цена</t>
  </si>
  <si>
    <t>3 шт</t>
  </si>
  <si>
    <t>1 пара</t>
  </si>
  <si>
    <t>2 пары</t>
  </si>
  <si>
    <t>ЧИ-выход (2шт)</t>
  </si>
  <si>
    <t>42-выход (2шт)</t>
  </si>
  <si>
    <t>ЧИ выход (2шт)+42 выход (2шт)</t>
  </si>
  <si>
    <t>ПД_колво</t>
  </si>
  <si>
    <t>ПД_асс</t>
  </si>
  <si>
    <t>ТС_асс</t>
  </si>
  <si>
    <t xml:space="preserve">    3. УФ - Устройство Формирования, нужного исполнения,  по количеству УПР: 1-4 шт (однолучевые) или 1-2 шт (двухлучевые).</t>
  </si>
  <si>
    <t xml:space="preserve"> Ду, мм     Тип соединения      Материал</t>
  </si>
  <si>
    <t xml:space="preserve"> Ду, мм     Тип соединения   Материал</t>
  </si>
  <si>
    <t xml:space="preserve"> Стандартный комплект для закрытой/</t>
  </si>
  <si>
    <t xml:space="preserve"> Стандартный комплект для закрытой/ </t>
  </si>
  <si>
    <t xml:space="preserve"> 1. По заказу изготавливаются специальные исполнения приборов по техническим условиям Заказчика, на кислоты, щелочи, ГСМ (мазуты, масла, нефтепрод.), для работы под водой (землей).</t>
  </si>
  <si>
    <t xml:space="preserve"> GSM-модем USB</t>
  </si>
  <si>
    <t xml:space="preserve"> По заказу до 200 м</t>
  </si>
  <si>
    <t xml:space="preserve"> термосопротивлениями или преобразов.давления.</t>
  </si>
  <si>
    <t xml:space="preserve"> По заказу до  200 м.</t>
  </si>
  <si>
    <t>ящ</t>
  </si>
  <si>
    <t>КОФ_15</t>
  </si>
  <si>
    <t>ящ_15</t>
  </si>
  <si>
    <t>КОФ_25</t>
  </si>
  <si>
    <t>ящ_25</t>
  </si>
  <si>
    <t>КОФ_32</t>
  </si>
  <si>
    <t xml:space="preserve"> цев сталь20</t>
  </si>
  <si>
    <t xml:space="preserve"> обрешетка</t>
  </si>
  <si>
    <t xml:space="preserve"> жесткая</t>
  </si>
  <si>
    <t xml:space="preserve"> 50-1000        фланцевое            нерж.сталь</t>
  </si>
  <si>
    <t xml:space="preserve"> 125-1400      фланцевое            сталь20</t>
  </si>
  <si>
    <t xml:space="preserve"> 15-32           резьбовое                 нерж.сталь</t>
  </si>
  <si>
    <t xml:space="preserve"> 125-1400     фланцевое                 сталь20</t>
  </si>
  <si>
    <t>Снят с производства, выбирайте аналогичный ЭБ US 800-11</t>
  </si>
  <si>
    <t>Снят с производства, выбирайте аналогичный ЭБ US 800-13</t>
  </si>
  <si>
    <t>Снят с производства, выбирайте аналогичный ЭБ US 800-31</t>
  </si>
  <si>
    <t>Снят с производства, выбирайте аналогичный ЭБ US 800-33</t>
  </si>
  <si>
    <t>Снят с производства, выбирайте аналогичный ЭБ US 800-21</t>
  </si>
  <si>
    <t>Снят с производства, выбирайте аналогичный ЭБ US 800-23</t>
  </si>
  <si>
    <t xml:space="preserve"> Опция "USB"</t>
  </si>
  <si>
    <t>Электронный блок,  два канала измерения расхода, подключается 2 однолучевых УПР. Индикация по кажд.каналу, частотный (0-1000 Гц) /импульсн. выход  на кажд.канал, цифровой интерфейс RS485 (ModBus), Архив. Возможности: объединение в сеть, подключение GSM-модема/GPRS-терминала; через конвертеры и адаптеры: подключение к ПК, ноутбуку, в сеть Ethernet. Питание 220В .</t>
  </si>
  <si>
    <r>
      <t xml:space="preserve">NEW! </t>
    </r>
    <r>
      <rPr>
        <sz val="8"/>
        <rFont val="Arial Cyr"/>
        <charset val="204"/>
      </rPr>
      <t>Устанавливается опция интерфейс USB. Прямое подключение к ПК/ноутбуку. Все исполнения ЭБ.</t>
    </r>
  </si>
  <si>
    <t>развязанный цифровой интерфейс RS485 (протокол ModBus), архив (час/сут/мес).</t>
  </si>
  <si>
    <t>Измерительный блок теплосчетчика-регистратора Энконт, два канала измерения,  подключается до 2 шт однолучевых УПР, до 2 шт термосопротивлений, до 2 шт преобразователей давления. Индикация, Архив, цифровой интерфейс RS485 (ModBus). Возможности: объединение в сеть, подключение GSM-модема, верхний уровень, диспетчеризация; через конвертеры и адаптеры: подключение к ПК, ноутбуку, в сеть Ethernet. Питание 220В/24В пост.тока. Свободная конфигурация схем учета до 2-х трубопроводов.</t>
  </si>
  <si>
    <t>Измерительный блок теплосчетчика-регистратора Энконт, четыре канала измерения при присоединении однолучевых УПР (два канала измерения расхода при присоединении двухлучевых УПР),  подключается до 4 шт однолучевых УПР (или до 2 шт двухлучевых УПР), до 4 шт термосопротивлений, до 4 шт преобразователей давления. Индикация, Архив, цифровой интерфейс RS485 (ModBus). Возможности: объединение в сеть, подключение GSM-модема, верхний уровень, диспетчеризация; через конвертеры и адаптеры: подключение к ПК, ноутбуку, в сеть Ethernet. Питание 220В/24В пост.тока. Свободная конфигурация схем учета до 4-х трубопроводов.</t>
  </si>
  <si>
    <t>Опция "USB"</t>
  </si>
  <si>
    <t>Опция "дополнительный RS485"</t>
  </si>
  <si>
    <t xml:space="preserve">Изготовление УПР на более высокие давления до 25 атм (2.5 МПа), до 40 атм (4 МПа), до 60 атм (6 МПа), до 100 атм (10 МПа), до 160 атм (16 МПа), до 250 атм (25 МПа). Стоимость по запросу.  </t>
  </si>
  <si>
    <t>Опции "25 атм" "40 атм" "60 атм", "100 атм", "160 атм", "250 атм"</t>
  </si>
  <si>
    <t>Опция "ПЭП +220 ºС"</t>
  </si>
  <si>
    <t xml:space="preserve">Устанавливается датчик для высокотемпературных жидкостей. Т макс 220 ºС.  </t>
  </si>
  <si>
    <t xml:space="preserve"> Приборный бокс необогрев.</t>
  </si>
  <si>
    <t>Приборный бокс (шкаф) без обогрева, для электронных блоков и др., различные размеры. Цена зависит от размера и количества элементов внутри</t>
  </si>
  <si>
    <r>
      <t xml:space="preserve">Только в  US800-13, 33! </t>
    </r>
    <r>
      <rPr>
        <sz val="8"/>
        <rFont val="Arial Cyr"/>
        <family val="2"/>
        <charset val="204"/>
      </rPr>
      <t xml:space="preserve">Устанавливается дополнительный токовый 4-20 мА выход,  работающий при смене направления потока (реверсе).   </t>
    </r>
  </si>
  <si>
    <r>
      <t xml:space="preserve">Только в  US800-11, 13, 31, 33! </t>
    </r>
    <r>
      <rPr>
        <sz val="8"/>
        <rFont val="Arial Cyr"/>
        <family val="2"/>
        <charset val="204"/>
      </rPr>
      <t xml:space="preserve">Устанавливается дополнительный частотн.имп.выход,  работающий при смене направления потока (реверсе). </t>
    </r>
  </si>
  <si>
    <t xml:space="preserve">Цена за 1 метр, Кабель помехозащищенный для наружной/внутренней прокладки между ЭБ и двухлучевым УПР. </t>
  </si>
  <si>
    <r>
      <t xml:space="preserve">Цена за 1 метр, Кабель помехозащищенный для наружной/внутренней прокладки между ЭБ и однолучевым УПР. </t>
    </r>
    <r>
      <rPr>
        <b/>
        <sz val="8"/>
        <rFont val="Arial Cyr"/>
        <charset val="204"/>
      </rPr>
      <t xml:space="preserve"> </t>
    </r>
  </si>
  <si>
    <t>_</t>
  </si>
  <si>
    <t>номер_УПР1</t>
  </si>
  <si>
    <t>список_УПР1</t>
  </si>
  <si>
    <t>УПР однолуч. - 1 шт</t>
  </si>
  <si>
    <t>УПР однолуч. - 2 шт</t>
  </si>
  <si>
    <t>номер_УПР2</t>
  </si>
  <si>
    <t>список_УПР2</t>
  </si>
  <si>
    <t>УПР двухлуч. - 1 шт</t>
  </si>
  <si>
    <t>УПР двухлуч. - 2 шт</t>
  </si>
  <si>
    <t>1 или 2 шт</t>
  </si>
  <si>
    <t>Двухлучевой УПР Ду200 мм, фланцевое присоедин., материал черн.сталь20 с покрытием, Рмакс 16 атм, с датчиками ПЭП, Тмакс 150ºС, IP65</t>
  </si>
  <si>
    <t>Двухлучевой УПР Ду900 мм, фланцевое присоедин., материал черн.сталь20 с покрытием, Рмакс 16 атм, с датчиками ПЭП, Тмакс 150ºС, IP65</t>
  </si>
  <si>
    <r>
      <t xml:space="preserve">Акция! </t>
    </r>
    <r>
      <rPr>
        <sz val="8"/>
        <rFont val="Arial Cyr"/>
        <family val="2"/>
        <charset val="204"/>
      </rPr>
      <t xml:space="preserve">Универсальный преобразователь интерфейса RS485 (или RS232) в USB-порт, для подключения к ПК, ноутбуку и пр. </t>
    </r>
  </si>
  <si>
    <r>
      <t xml:space="preserve">Акция! </t>
    </r>
    <r>
      <rPr>
        <sz val="8"/>
        <rFont val="Arial Cyr"/>
        <family val="2"/>
        <charset val="204"/>
      </rPr>
      <t>Преобразователь интерфейса RS485 в RS232 для подсоединения к ПК (COM-порт), GSM-модему (с RS232) и пр.</t>
    </r>
  </si>
  <si>
    <t xml:space="preserve">Измерительный блок теплосчетчика-регистратора предназначен для обработки сигналов от датчиков ПЭП УПР, термосопротивлений, датчиков давления, </t>
  </si>
  <si>
    <t>Двухлучевой УПР Ду1400 мм, фланцевое присоедин., материал черн.сталь20 с покрытием, Рмакс 16 атм, с датчиками ПЭП, Тмакс 150ºС, IP65</t>
  </si>
  <si>
    <t xml:space="preserve">       (см. схемы в самом низу страницы или в РЭ US800-4X , приложение Д).</t>
  </si>
  <si>
    <t>ВОЗМОЖНЫЕ СХЕМЫ ПРИСОЕДИНЕНИЯ ИСПОЛНЕНИЯ 4Х (подробнее см. РЭ на US800-4X):</t>
  </si>
  <si>
    <t xml:space="preserve">               КОМПЛЕКТУЮЩИЕ К УЛЬТРАЗВУКОВОМУ РАСХОДОМЕРУ US-800 (ИСПОЛНЕНИЯ 1Х, 2Х, 3Х)</t>
  </si>
  <si>
    <t xml:space="preserve">                               КОМПЛЕКТУЮЩИЕ К УЛЬТРАЗВУКОВОМУ ТЕПЛОСЧЕТЧИКУ ЭНКОНТ</t>
  </si>
  <si>
    <t xml:space="preserve">                  УЛЬТРАЗВУКОВОЙ РАСХОДОМЕР US-800 (исполнения 1Х,2Х,3Х) ПО КОМПЛЕКТАМ </t>
  </si>
  <si>
    <t>суммируется со стоимостью соответствующего блока индикации!</t>
  </si>
  <si>
    <t xml:space="preserve">Устанавливается адаптер и выносной аккумулятор для бесперебойного питания при отключении сети, до 2 недель, автоподзаряд. Внимание! ИБП заказывается и применяется только в конфигурации при питании УФ непосредственно через разъем БИ. </t>
  </si>
  <si>
    <t xml:space="preserve">                         КОМПЛЕКТУЮЩИЕ К УЛЬТРАЗВУКОВОМУ РАСХОДОМЕРУ US800-исполнение 4Х</t>
  </si>
  <si>
    <r>
      <t xml:space="preserve">   </t>
    </r>
    <r>
      <rPr>
        <b/>
        <u/>
        <sz val="12"/>
        <rFont val="Arial Cyr"/>
        <charset val="204"/>
      </rPr>
      <t>ВНИМАНИЕ! Для правильной комплектации ультразвукового расходомера исп. 4Х требуется суммировать стоимость следующих позиций:</t>
    </r>
  </si>
  <si>
    <t xml:space="preserve"> Приспособление для измерения базового расстояния между датчиками ПЭП, нерж.</t>
  </si>
  <si>
    <t xml:space="preserve"> Приспособление АС805 (ПР-005)</t>
  </si>
  <si>
    <t xml:space="preserve"> Приспособление для измерения угла наклона датчиков ПЭП, нерж.</t>
  </si>
  <si>
    <t xml:space="preserve"> КОФ для УПР Ду 15     </t>
  </si>
  <si>
    <t xml:space="preserve">  ОДНОКАНАЛЬНЫЙ ДВУХЛУЧЕВОЙ:</t>
  </si>
  <si>
    <t xml:space="preserve">  ДВУХКАНАЛЬНЫЙ ОДНОЛУЧЕВОЙ:</t>
  </si>
  <si>
    <t>ФЛАНЦЕВЫЙ</t>
  </si>
  <si>
    <t>Кабель - по заказу</t>
  </si>
  <si>
    <t>Однолучевой УПР Ду700 мм, бесфланц. под сварку, материал черн.сталь20 с покрытием, Рмакс 16 атм, с датчиками ПЭП, Тмакс 150 ºС, IP65</t>
  </si>
  <si>
    <t>Однолучевой УПР Ду800 мм, бесфланц. под сварку, материал черн.сталь20 с покрытием, Рмакс 16 атм, с датчиками ПЭП, Тмакс 150 ºС, IP65</t>
  </si>
  <si>
    <t>Однолучевой УПР Ду900 мм, бесфланц. под сварку, материал черн.сталь20 с покрытием, Рмакс 16 атм, с датчиками ПЭП, Тмакс 150 ºС, IP65</t>
  </si>
  <si>
    <t>Однолучевой УПР Ду1000 мм, бесфланц. под сварку, материал черн.сталь20 с покрытием, Рмакс 16 атм, с датчиками ПЭП, Тмакс 150 ºС, IP65</t>
  </si>
  <si>
    <t>Однолучевой УПР Ду1200 мм, бесфланц. под сварку, материал черн.сталь20 с покрытием, Рмакс 16 атм, с датчиками ПЭП, Тмакс 150 ºС, IP65</t>
  </si>
  <si>
    <t>Однолучевой УПР Ду1400 мм, бесфланц. под сварку, материал черн.сталь20 с покрытием, Рмакс 16 атм, с датчиками ПЭП, Тмакс 150 ºС, IP65</t>
  </si>
  <si>
    <t xml:space="preserve">Датчик ПЭП, Тмакс 150ºС, IP65. </t>
  </si>
  <si>
    <t xml:space="preserve">  Закажите опцию "ИБП"!</t>
  </si>
  <si>
    <t>Двухлучевой УПР Ду250 мм, фланцевое присоедин., материал черн.сталь20 с покрытием, Рмакс 16 атм, с датчиками ПЭП, Тмакс 150ºС, IP65</t>
  </si>
  <si>
    <t>Двухлучевой УПР Ду700 мм, фланцевое присоедин., материал черн.сталь20 с покрытием, Рмакс 16 атм, с датчиками ПЭП, Тмакс 150ºС, IP65</t>
  </si>
  <si>
    <t xml:space="preserve"> УПР-350Ф-СТ20 двухлуч.  </t>
  </si>
  <si>
    <t xml:space="preserve">Устанавливаются в ИБ 2 шт гальв.развяз. частотные 0-1000 Гц/ или импульсн. (с прог.весом имп.) и 2 шт токовые 4-20 мА выходы, пропорциональные выбранному измеряемому параметру: объемный или массовый расход, температура, давление, тепловая мощность.  </t>
  </si>
  <si>
    <t>Термосопротивления, подобранная пара, с защитными гильзами, pt100 или 100П, на трубу 15-200 мм.</t>
  </si>
  <si>
    <t>Термосопротивления, подобранная пара, с защитными гильзами, pt100 или 100П, на трубу от 250 мм.</t>
  </si>
  <si>
    <t>Преобразователь давления, Рмакс 1.6 Мпа, вых.4-20 мА, питание от измерительного блока.</t>
  </si>
  <si>
    <t xml:space="preserve"> БИ US-800-40 </t>
  </si>
  <si>
    <t xml:space="preserve"> БИ US-800-42</t>
  </si>
  <si>
    <t xml:space="preserve"> КОФ для УПР Ду 1000     </t>
  </si>
  <si>
    <t xml:space="preserve"> КОФ для УПР Ду 1200    </t>
  </si>
  <si>
    <t xml:space="preserve"> КОФ для УПР Ду 1400   </t>
  </si>
  <si>
    <t xml:space="preserve"> черн.сталь ст20*, Р макс 1.6 МПа**, </t>
  </si>
  <si>
    <t xml:space="preserve"> Комплект ответных фланцев (2шт), крепеж (болты и гайки), </t>
  </si>
  <si>
    <t xml:space="preserve"> ** по заказу на давление 2.5 МПа, 4.0 МПа, 6 МПа</t>
  </si>
  <si>
    <t xml:space="preserve"> КОФ для УПР Ду 125    </t>
  </si>
  <si>
    <t xml:space="preserve"> КОФ для УПР Ду 150    </t>
  </si>
  <si>
    <t xml:space="preserve"> Габаритный имитатор - монтажная вставка </t>
  </si>
  <si>
    <t xml:space="preserve"> Габаритный имитатор / монтажная вставка </t>
  </si>
  <si>
    <t xml:space="preserve"> по габаритам аналогичен УПР</t>
  </si>
  <si>
    <t xml:space="preserve"> БЕЗ ответных фланцев и крепежа! </t>
  </si>
  <si>
    <t xml:space="preserve"> представляет собой отрезок трубы с фланцами на концах  </t>
  </si>
  <si>
    <t>По заказу изготавливаются УПР на температуру измеряемой жидкости до +220 ºС.</t>
  </si>
  <si>
    <t>габаритн</t>
  </si>
  <si>
    <t>габ_15</t>
  </si>
  <si>
    <t>габ_25</t>
  </si>
  <si>
    <t>габ_32</t>
  </si>
  <si>
    <t>габ_40</t>
  </si>
  <si>
    <t>габ_50</t>
  </si>
  <si>
    <t>габ_65</t>
  </si>
  <si>
    <t>габ_80</t>
  </si>
  <si>
    <t>габ_100</t>
  </si>
  <si>
    <t>габ_150</t>
  </si>
  <si>
    <t>габ_200</t>
  </si>
  <si>
    <t>габ_250</t>
  </si>
  <si>
    <t>габ_300</t>
  </si>
  <si>
    <t>габ_350</t>
  </si>
  <si>
    <t>габ_400</t>
  </si>
  <si>
    <t>габ_500</t>
  </si>
  <si>
    <t>габ_600</t>
  </si>
  <si>
    <t>габ_700</t>
  </si>
  <si>
    <t>габ_800</t>
  </si>
  <si>
    <t>габ_900</t>
  </si>
  <si>
    <t>габ_1000</t>
  </si>
  <si>
    <t>габ_1200</t>
  </si>
  <si>
    <t>габ_1400</t>
  </si>
  <si>
    <t xml:space="preserve"> ОБРЕШЕТКА для УПР Ду 20     </t>
  </si>
  <si>
    <t xml:space="preserve"> ОБРЕШЕТКА для УПР Ду 125     </t>
  </si>
  <si>
    <t xml:space="preserve"> ОБРЕШЕТКА для УПР Ду 150    </t>
  </si>
  <si>
    <t xml:space="preserve">                  НЕ ЗАБУДЬТЕ ЗАКАЗАТЬ КАБЕЛЬ! </t>
  </si>
  <si>
    <t xml:space="preserve">НЕ ЗАБУДЬТЕ ЗАКАЗАТЬ КАБЕЛЬ! </t>
  </si>
  <si>
    <t>Двухлучевой УПР Ду150 мм, фланцевое присоедин., материал черн.сталь20 с покрытием, Рмакс 16 атм, с датчиками ПЭП, Тмакс 120ºС, IP65</t>
  </si>
  <si>
    <t>_ip68</t>
  </si>
  <si>
    <t>_ПМЗ</t>
  </si>
  <si>
    <t>_КСС4Э</t>
  </si>
  <si>
    <t>_КСС2Э</t>
  </si>
  <si>
    <t>ПЭП64IP68У</t>
  </si>
  <si>
    <t>Опц_давлен</t>
  </si>
  <si>
    <t>ПП212</t>
  </si>
  <si>
    <t>Опц_нестандарт</t>
  </si>
  <si>
    <t>ПЭП3_200</t>
  </si>
  <si>
    <t>Опц_поверкаR</t>
  </si>
  <si>
    <t>ПЭП6_200</t>
  </si>
  <si>
    <t>ПЭП3Ф</t>
  </si>
  <si>
    <t>КМЧ</t>
  </si>
  <si>
    <t>ПЭП6Ф</t>
  </si>
  <si>
    <t>КМЧ800_1</t>
  </si>
  <si>
    <t xml:space="preserve"> УПР Ду25 мм, резьбовое присоедин., материал трубы нерж.12Х18Н10Т, Рмакс 16 атм, с датчиками ПЭП, Тмакс 120 ºС, IP65</t>
  </si>
  <si>
    <t xml:space="preserve">      Подробнее о УПР: тип присоединения, материал, Р макс, Т макс, пылевлагозащита</t>
  </si>
  <si>
    <t>250 -</t>
  </si>
  <si>
    <t xml:space="preserve">      Подробнее: описание, материал, Р макс, Т макс, пылевлагозащита</t>
  </si>
  <si>
    <t xml:space="preserve">      Описание опции</t>
  </si>
  <si>
    <t xml:space="preserve">      Описание  </t>
  </si>
  <si>
    <t xml:space="preserve">   7. Кабель ПВС - кабель питания БИ-РК, РК-РК, требуется, если удаление РК от БИ превышает (в зависимости от количества УФ(УПР): 180м (4 УПР), 250м (3 УПР), 370м (2 УПР), 750м (1 УПР) </t>
  </si>
  <si>
    <t xml:space="preserve"> БЕЗ УПР - КМЧ ДВУХЛУЧЕВЫЕ И ПЭП    </t>
  </si>
  <si>
    <t xml:space="preserve"> БЕЗ УПР - КМЧ ОДНОЛУЧЕВЫЕ И ПЭП   </t>
  </si>
  <si>
    <t xml:space="preserve"> ДАТЧИКИ ПЭП    </t>
  </si>
  <si>
    <t xml:space="preserve">  КМЧ      </t>
  </si>
  <si>
    <t>ТЕХНОЛОГИЧЕСКИЙ УПР, КЮВЕТА ПОВЕРОЧНАЯ</t>
  </si>
  <si>
    <t>ПРИСПОСОБЛЕНИЯ ДЛЯ МОНТАЖА</t>
  </si>
  <si>
    <t xml:space="preserve"> Приспособление АС801 (ПР-001)</t>
  </si>
  <si>
    <t xml:space="preserve"> Приспособление (комплект штанг) для приварки держателей ПЭП на Ду от 250 до 1200 мм, нерж.</t>
  </si>
  <si>
    <t xml:space="preserve"> Опция "ЧИ-выход"</t>
  </si>
  <si>
    <t xml:space="preserve"> Опция "4-20 мА выход"</t>
  </si>
  <si>
    <t>Ультразвуковой расходомер-счетчик жидкостей US-800 предназначен для измерения и учета текущего расхода и накопления объема жидкостей, протекающих по 1 или 2 трубопроводам,</t>
  </si>
  <si>
    <t>с фиксацией этих величин в архиве, выводом на ПК, ноутбук, локальную сеть, в сеть Ethernet, по GSM-модему, на вычислители, регуляторы, контроллеры, в систему АСУТП и пр.</t>
  </si>
  <si>
    <t xml:space="preserve">Основные объекты внедрения: водоканалы, теплосети, энергетические объекты (ЦТП, ТЭЦ, котельные), объекты ЖКХ, металлургические, нефтехимические и др.  </t>
  </si>
  <si>
    <r>
      <t xml:space="preserve">  </t>
    </r>
    <r>
      <rPr>
        <b/>
        <u/>
        <sz val="14"/>
        <rFont val="Verdana"/>
        <family val="2"/>
        <charset val="204"/>
      </rPr>
      <t>ОПЦИИ К ЭБ</t>
    </r>
  </si>
  <si>
    <r>
      <t xml:space="preserve">  </t>
    </r>
    <r>
      <rPr>
        <b/>
        <u/>
        <sz val="14"/>
        <rFont val="Verdana"/>
        <family val="2"/>
        <charset val="204"/>
      </rPr>
      <t>ОПЦИИ К УПР</t>
    </r>
  </si>
  <si>
    <t>Во всех измерительных блоках присутствует  индикация (все измеряемые параметры, большой двухстрочный ЖК- дисплей с подсветкой); гальванически</t>
  </si>
  <si>
    <t xml:space="preserve"> Приборный бокс </t>
  </si>
  <si>
    <t xml:space="preserve"> Приборный бокс с обогревом</t>
  </si>
  <si>
    <t xml:space="preserve"> 2. На всю продукцию имеются сертификаты, паспорта,  и др. нормативно-эксплуатационная документация.</t>
  </si>
  <si>
    <t xml:space="preserve"> КОФ для УПР Ду 50     </t>
  </si>
  <si>
    <t xml:space="preserve"> КОФ для УПР Ду 80     </t>
  </si>
  <si>
    <t xml:space="preserve">Теплосчетчик ЭНКОНТ выполнен в помехозащищенном исполнении с гальванической развязкой каналов измерения, выходных сигналов, имеет защиту от помех, наводок, безопасен </t>
  </si>
  <si>
    <t xml:space="preserve">при любых условиях эксплуатации, имеет сетевой фильтр, защиту от перегрева, диагностику каналов измерения и пр., высокие степени пылевлагозащиты.  </t>
  </si>
  <si>
    <r>
      <t xml:space="preserve">Четырехканальный - </t>
    </r>
    <r>
      <rPr>
        <sz val="9"/>
        <rFont val="Arial Cyr"/>
        <charset val="204"/>
      </rPr>
      <t>имеет четыре канала измерения (подсоединяется до 4 шт однолучевых УПР или до 2 шт двухлучевых УПР).</t>
    </r>
  </si>
  <si>
    <t xml:space="preserve"> УПР-700Ф-СТ20 двухлуч. </t>
  </si>
  <si>
    <t xml:space="preserve"> УПР-800Ф-СТ20 двухлуч. </t>
  </si>
  <si>
    <t xml:space="preserve"> УПР-1000Ф-СТ20 двухлуч. </t>
  </si>
  <si>
    <t xml:space="preserve"> УПР-600БФ-СТ20 двухлуч.    </t>
  </si>
  <si>
    <t>по запросу</t>
  </si>
  <si>
    <t xml:space="preserve"> GSM-модем (RS485)</t>
  </si>
  <si>
    <t xml:space="preserve"> КМЧ-800 двухлуч. нерж.</t>
  </si>
  <si>
    <t>Устанавливаются в ИБ гальв.развяз. частотные 0-1000 Гц/ или импульсн. (с прог.весом имп.) выходы, пропорциональные выбранному, измеряемому параметру: объемный или массовый расход, температура, давление, тепловая мощность. Количество выходов: 2 шт.</t>
  </si>
  <si>
    <r>
      <t xml:space="preserve">Акция! </t>
    </r>
    <r>
      <rPr>
        <sz val="8"/>
        <rFont val="Arial Cyr"/>
        <family val="2"/>
        <charset val="204"/>
      </rPr>
      <t xml:space="preserve">Преобразователь в сеть Ethernet, сетевой разъемом RJ45. </t>
    </r>
  </si>
  <si>
    <t>Устанавливаются в ИБ гальванически развязанные токовые 4-20 выходы, пропорциональные выбранному измеряем. параметру: объемный или массовый расход, температура, давление, тепловая мощность. Количество выходов: 2 шт.</t>
  </si>
  <si>
    <t xml:space="preserve">Устанавливаются в ИБ гальв.развяз. частотные/импульсн. выходы (2шт) и 4-20 мА токовые выходы (2шт), пропорциональные  выбранному  измеряемому параметру: объемный или массовый расход, температура, давление, тепловая мощность.  </t>
  </si>
  <si>
    <t>Устанавливается в ИБ адаптер и выносной аккумулятор (ИБП) для бесперебойного питания при отсутствии 220 В, до 1 недели, автоподзаряд</t>
  </si>
  <si>
    <t xml:space="preserve">Изготовление УПР на более высокие давления до 25 атм (2.5 МПа). Стоимость по запросу.  </t>
  </si>
  <si>
    <t xml:space="preserve"> Опция "ПЭП IP68 У"</t>
  </si>
  <si>
    <t>ПЭП34с</t>
  </si>
  <si>
    <t>КМЧ800_1с</t>
  </si>
  <si>
    <t>КМЧ800_2с</t>
  </si>
  <si>
    <r>
      <t xml:space="preserve">  </t>
    </r>
    <r>
      <rPr>
        <b/>
        <u/>
        <sz val="14"/>
        <rFont val="Tahoma"/>
        <family val="2"/>
        <charset val="204"/>
      </rPr>
      <t>БЛОК ИНДИКАЦИИ УЛЬТРАЗВУКОВОГО РАСХОДОМЕРА US800-4X (БИ US800-4X)</t>
    </r>
  </si>
  <si>
    <t xml:space="preserve">Во всех блоках индикации присутствует  индикация (мгновенный расход/накопленный объем/время работы, все программируемые параметры, архив, большой  </t>
  </si>
  <si>
    <t>яркий двухстрочный OLED- дисплей); гальванически развязанный цифровой интерфейс RS485 (протоколы ModBus, DCON), архив (час/сут/мес).</t>
  </si>
  <si>
    <t>БИ выпускаются в помехозащищенном исполнении: гальваническая развязка от всех подключаемых элементов (защита от помех, наводок и т.п., безопасность</t>
  </si>
  <si>
    <t>в любых условиях  эксплуатации), сетевой фильтр, защита от перегрева, самодиагностика,  гибко программируется под различные условия эксплуатации.</t>
  </si>
  <si>
    <t>Опц_IP68Ф</t>
  </si>
  <si>
    <t xml:space="preserve">Устройство формирования для исполнения US800-4X. Подключается один однолучевой УПР.  Крепится на УПР через кронштейн крепления КУФ (нет в комплекте!). Материал УФ - металл, кабельных вводов - пластик. Пылевлагозащита IP65. Размещение при Т окр.среды -40..+60 град.С </t>
  </si>
  <si>
    <t xml:space="preserve">Устройство формирования для исполнения US800-4X. Подключается один двухлучевой УПР.  Крепится на УПР через кронштейн крепления КУФ (нет в комплекте!). Материал УФ - металл, кабельных вводов - пластик. Пылевлагозащита IP65. Размещение при Т окр.среды -40..+60 град.С </t>
  </si>
  <si>
    <t>КМЧ однолуч. - 1 компл</t>
  </si>
  <si>
    <t>Датчики ПЭП  - 1 компл</t>
  </si>
  <si>
    <t>КМЧ двухлуч. - 2 компл</t>
  </si>
  <si>
    <t>Датчики ПЭП  - 2 компл</t>
  </si>
  <si>
    <t>КМЧ однолуч. - 2 компл</t>
  </si>
  <si>
    <t>КМЧ+ПЭП</t>
  </si>
  <si>
    <t xml:space="preserve"> нерж.12Х18Н10Т</t>
  </si>
  <si>
    <t xml:space="preserve"> черн.сталь20</t>
  </si>
  <si>
    <t xml:space="preserve"> </t>
  </si>
  <si>
    <t xml:space="preserve"> для врезки на трубу или изготовления УПР по месту</t>
  </si>
  <si>
    <t xml:space="preserve"> сталь20</t>
  </si>
  <si>
    <t xml:space="preserve"> материал фланцев</t>
  </si>
  <si>
    <t xml:space="preserve">  1.6 МПа, 120 ºС</t>
  </si>
  <si>
    <t xml:space="preserve">  1.6 МПа, 150 ºС</t>
  </si>
  <si>
    <t>2.5 МПа, 150 ºС</t>
  </si>
  <si>
    <t>вычисляет объемный/массовый расход, температуру, давление,  тепловую энергию и мощность и выводит информацию на индикатор или по линиям связи.</t>
  </si>
  <si>
    <t xml:space="preserve"> УПР-150БФ-СТ20 однолуч. </t>
  </si>
  <si>
    <t xml:space="preserve"> УПР-250БФ-СТ20 однолуч.  </t>
  </si>
  <si>
    <t xml:space="preserve"> УПР-300БФ-СТ20 однолуч.  </t>
  </si>
  <si>
    <t xml:space="preserve"> УПР-600БФ-СТ20 однолуч.     </t>
  </si>
  <si>
    <t xml:space="preserve"> УПР-900БФ-СТ20 однолуч.     </t>
  </si>
  <si>
    <t xml:space="preserve"> УПР-1000БФ-СТ20 однолуч.   </t>
  </si>
  <si>
    <t xml:space="preserve"> УПР-1200БФ-СТ20 однолуч. </t>
  </si>
  <si>
    <t xml:space="preserve">для расчета </t>
  </si>
  <si>
    <t>список_ЭБ2</t>
  </si>
  <si>
    <t>номер_ЭБ2</t>
  </si>
  <si>
    <t>Цена_ЭБ2</t>
  </si>
  <si>
    <t>номер_ЭБ3</t>
  </si>
  <si>
    <t>список_ЭБ3</t>
  </si>
  <si>
    <t>Цена_ЭБ3</t>
  </si>
  <si>
    <t>ЭБ US800-21</t>
  </si>
  <si>
    <t>ЭБ US800-23</t>
  </si>
  <si>
    <t>ЭБ US800-31</t>
  </si>
  <si>
    <t>ЭБ US800-33</t>
  </si>
  <si>
    <t>2800 /луч</t>
  </si>
  <si>
    <t>Опц_УВС1</t>
  </si>
  <si>
    <t xml:space="preserve"> Опция "Z-Рел.вых. пониж.расх."   </t>
  </si>
  <si>
    <t xml:space="preserve"> Опция "Z-Рел.вых. повыш.расх."</t>
  </si>
  <si>
    <r>
      <t xml:space="preserve">  </t>
    </r>
    <r>
      <rPr>
        <b/>
        <u/>
        <sz val="14"/>
        <rFont val="Tahoma"/>
        <family val="2"/>
        <charset val="204"/>
      </rPr>
      <t>ДОПОЛНИТЕЛЬНОЕ ОБОРУДОВАНИЕ:</t>
    </r>
  </si>
  <si>
    <t>УПР-1000Ф-СТ20 двухлуч. черн. фланцевый</t>
  </si>
  <si>
    <t>УПР-1000БФ-СТ20 двухлуч. черн. под сварку</t>
  </si>
  <si>
    <t>УПР-1200Ф-СТ20 двухлуч. черн. фланцевый</t>
  </si>
  <si>
    <t>УПР-1200БФ-СТ20 двухлуч. черн. под сварку</t>
  </si>
  <si>
    <t>УПР-1400Ф-СТ20 двухлуч. черн. фланцевый</t>
  </si>
  <si>
    <t>УПР-1400БФ-СТ20 двухлуч. черн. под сварку</t>
  </si>
  <si>
    <t>УПР-350Ф-СТ20 однолуч.  черн. фланцевый</t>
  </si>
  <si>
    <t>УПР-350БФ-СТ20 однолуч. черн. под сварку</t>
  </si>
  <si>
    <t>УПР-400Ф-СТ20 однолуч. черн. фланцевый</t>
  </si>
  <si>
    <t>УПР-400БФ-СТ20 однолуч. черн. под сварку</t>
  </si>
  <si>
    <t>ящ_900</t>
  </si>
  <si>
    <t>КОФ_1000</t>
  </si>
  <si>
    <t>ящ_1000</t>
  </si>
  <si>
    <t>КОФ_1200</t>
  </si>
  <si>
    <t>ящ_1200</t>
  </si>
  <si>
    <t>КОФ_1400</t>
  </si>
  <si>
    <t>ящ_1400</t>
  </si>
  <si>
    <t>опции_УПР</t>
  </si>
  <si>
    <t>датчики_ПЭП</t>
  </si>
  <si>
    <t>Опц_IP68</t>
  </si>
  <si>
    <t>ПЭП34</t>
  </si>
  <si>
    <t>Опц_ПЭПУ</t>
  </si>
  <si>
    <t>ПЭП64</t>
  </si>
  <si>
    <t>Опц_IP68У</t>
  </si>
  <si>
    <t>ПЭП34У</t>
  </si>
  <si>
    <t>Опц_200</t>
  </si>
  <si>
    <t>ПЭП64У</t>
  </si>
  <si>
    <t>Опц_ПЭПФ</t>
  </si>
  <si>
    <t>ПЭП34IP68</t>
  </si>
  <si>
    <t>Опц_ПП212</t>
  </si>
  <si>
    <t>ПЭП64IP68</t>
  </si>
  <si>
    <t>Опц_ШК</t>
  </si>
  <si>
    <t>ПЭП34IP68У</t>
  </si>
  <si>
    <t>Опц_гильзПЭП</t>
  </si>
  <si>
    <t xml:space="preserve"> УПР-200БФ-СТ20 двухлуч.</t>
  </si>
  <si>
    <t>Опция "ПЭП У"</t>
  </si>
  <si>
    <t>Опция "ПЭП IP68"</t>
  </si>
  <si>
    <t xml:space="preserve">Опция "ЧИ выходы + 4-20 мА выходы"  </t>
  </si>
  <si>
    <t xml:space="preserve">Опция "4-20 мА выходы" </t>
  </si>
  <si>
    <t>Опция "ЧИ-выходы"</t>
  </si>
  <si>
    <t xml:space="preserve"> УПР-250БФ-СТ20 двухлуч.</t>
  </si>
  <si>
    <t xml:space="preserve"> Кабель  - по заказу</t>
  </si>
  <si>
    <t xml:space="preserve">упр_однолуч </t>
  </si>
  <si>
    <t xml:space="preserve">упр_двухлуч </t>
  </si>
  <si>
    <t>4200 /канал</t>
  </si>
  <si>
    <t>запрос</t>
  </si>
  <si>
    <t xml:space="preserve"> За приведенную цену комплектация:</t>
  </si>
  <si>
    <r>
      <rPr>
        <b/>
        <sz val="9"/>
        <rFont val="Arial"/>
        <family val="2"/>
        <charset val="204"/>
      </rPr>
      <t xml:space="preserve">Новинка! </t>
    </r>
    <r>
      <rPr>
        <sz val="9"/>
        <rFont val="Arial"/>
        <family val="2"/>
        <charset val="204"/>
      </rPr>
      <t>Устанавливается опция USB. Прямое подключение к ПК/ноутбуку.</t>
    </r>
  </si>
  <si>
    <r>
      <rPr>
        <b/>
        <sz val="9"/>
        <rFont val="Arial"/>
        <family val="2"/>
        <charset val="204"/>
      </rPr>
      <t>Новинка!</t>
    </r>
    <r>
      <rPr>
        <sz val="9"/>
        <rFont val="Arial"/>
        <family val="2"/>
        <charset val="204"/>
      </rPr>
      <t xml:space="preserve"> Устанавливается </t>
    </r>
    <r>
      <rPr>
        <b/>
        <sz val="9"/>
        <rFont val="Arial"/>
        <family val="2"/>
        <charset val="204"/>
      </rPr>
      <t>дополнительный</t>
    </r>
    <r>
      <rPr>
        <sz val="9"/>
        <rFont val="Arial"/>
        <family val="2"/>
        <charset val="204"/>
      </rPr>
      <t xml:space="preserve"> гальванически развязанный цифровой интерфейс RS485 (ModBus). Объединение в сеть, подключение к GSM-модему/GPRS-терминалу одиночное или групповое; через конвертеры и адаптеры: подключение к ПК, ноутбуку, в сеть Ethernet и пр. </t>
    </r>
  </si>
  <si>
    <t xml:space="preserve">   ФОТОГАЛЕРЕЯ:  УЛЬТРАЗВУКОВОЙ РАСХОДОМЕР-СЧЕТЧИК ЖИДКОСТЕЙ US-800</t>
  </si>
  <si>
    <t xml:space="preserve">КАБЕЛЬ МЕЖДУ БИ и РК и УФ </t>
  </si>
  <si>
    <t xml:space="preserve"> Кабель F/UTP Cat5e V/PE</t>
  </si>
  <si>
    <t>Цена за 1 метр, Кабель витая пара, экранированный, соединительный кабель между БИ и РК, между РК и УФ, между БИ и УФ.</t>
  </si>
  <si>
    <t xml:space="preserve">КАБЕЛЬ ПИТАНИЯ МЕЖДУ БИ И РК </t>
  </si>
  <si>
    <t xml:space="preserve"> Кабель ПВС 2х0.75</t>
  </si>
  <si>
    <t>Цена за 1 метр, две жилы сеч. 0.75, кабель питания между БИ и РК, между РК и РК. Необходимость кабеля питания зависит от расстояния до объектов и количества РК и УФ.</t>
  </si>
  <si>
    <t xml:space="preserve"> Кабель ПВС 2х1.5</t>
  </si>
  <si>
    <t>Цена за 1 метр, две жилы сеч. 1.5, кабель питания между БИ и РК, между РК и РК. Необходимость кабеля питания зависит от расстояния до объектов и количества РК и УФ.</t>
  </si>
  <si>
    <t>УСТРОЙСТВО ФОРМИРОВАНИЯ УФ И КРЕПЛЕНИЕ УФ К УПР</t>
  </si>
  <si>
    <r>
      <t xml:space="preserve">Срок гарантии 2 года. Межповерочный интервал 4 года. Срок отгрузки 2-15 дней. Организованная доставка по РФ.  </t>
    </r>
    <r>
      <rPr>
        <b/>
        <u/>
        <sz val="10"/>
        <rFont val="Arial"/>
        <family val="2"/>
        <charset val="204"/>
      </rPr>
      <t/>
    </r>
  </si>
  <si>
    <t xml:space="preserve"> Высокая точность, минимальные </t>
  </si>
  <si>
    <t xml:space="preserve">   ОДНОКАНАЛЬНЫЕ </t>
  </si>
  <si>
    <t xml:space="preserve">      ДВУХЛУЧЕВЫЕ</t>
  </si>
  <si>
    <t xml:space="preserve"> прямые участки при монтаже!  </t>
  </si>
  <si>
    <t xml:space="preserve"> 1 ЭБ обслуживает 1 двухлучевой УПР. </t>
  </si>
  <si>
    <t xml:space="preserve"> Стандартное исполнение.  </t>
  </si>
  <si>
    <t xml:space="preserve"> 1 ЭБ ослуживает 1 однолучевой УПР.</t>
  </si>
  <si>
    <t xml:space="preserve"> GPRS-терминал Teleofis WRX708</t>
  </si>
  <si>
    <r>
      <t xml:space="preserve">АКЦИЯ! </t>
    </r>
    <r>
      <rPr>
        <sz val="9"/>
        <rFont val="Arial"/>
        <family val="2"/>
        <charset val="204"/>
      </rPr>
      <t>GPRS-терминал в полном комплекте (комплект: терминал, антенна), интерфейс RS485.</t>
    </r>
  </si>
  <si>
    <r>
      <t>Акция!</t>
    </r>
    <r>
      <rPr>
        <sz val="8"/>
        <rFont val="Arial Cyr"/>
        <family val="2"/>
        <charset val="204"/>
      </rPr>
      <t xml:space="preserve"> GPRS-терминал в полном комплекте (комплект: терминал, антенна, бл.питания), интерфейс RS485. </t>
    </r>
  </si>
  <si>
    <t xml:space="preserve"> УПР Ду32 мм, резьбовое присоедин., материал трубы нерж.12Х18Н10Т, Рмакс 16 атм, с датчиками ПЭП, Тмакс 120 ºС, IP65</t>
  </si>
  <si>
    <t xml:space="preserve"> УПР-032-G однолуч.резьб.</t>
  </si>
  <si>
    <t>УПР_032РГ1</t>
  </si>
  <si>
    <t>GPRS_терм</t>
  </si>
  <si>
    <t>Опц_24ИБП</t>
  </si>
  <si>
    <t>Опц_1236В</t>
  </si>
  <si>
    <t>Опц_42RS485</t>
  </si>
  <si>
    <t>16800 /луч</t>
  </si>
  <si>
    <t>24500 /луч</t>
  </si>
  <si>
    <t>7000 /луч</t>
  </si>
  <si>
    <t>10500 /луч</t>
  </si>
  <si>
    <t>21000 /луч</t>
  </si>
  <si>
    <t xml:space="preserve"> 1 шт</t>
  </si>
  <si>
    <t>1 шт</t>
  </si>
  <si>
    <t>ЭБ US800-11</t>
  </si>
  <si>
    <t>ЭБ US800-13</t>
  </si>
  <si>
    <t>номер_ЭБ1</t>
  </si>
  <si>
    <t>список_ЭБ1</t>
  </si>
  <si>
    <t>Цена_ЭБ1</t>
  </si>
  <si>
    <t>ящ_32</t>
  </si>
  <si>
    <t>КОФ_40</t>
  </si>
  <si>
    <t>ящ_40</t>
  </si>
  <si>
    <t>КОФ_50</t>
  </si>
  <si>
    <t>ящ_50</t>
  </si>
  <si>
    <t>КОФ_65</t>
  </si>
  <si>
    <t>ящ_65</t>
  </si>
  <si>
    <t>КОФ_80</t>
  </si>
  <si>
    <t>ящ_80</t>
  </si>
  <si>
    <t>КОФ_100</t>
  </si>
  <si>
    <t>ящ_100</t>
  </si>
  <si>
    <t>КОФ_150</t>
  </si>
  <si>
    <t>ящ_150</t>
  </si>
  <si>
    <t>КОФ_200</t>
  </si>
  <si>
    <t xml:space="preserve"> УПР-1400БФ-СТ20 однолуч.   </t>
  </si>
  <si>
    <t>ящ_200</t>
  </si>
  <si>
    <t>КОФ_250</t>
  </si>
  <si>
    <t>ящ_250</t>
  </si>
  <si>
    <t>КОФ_300</t>
  </si>
  <si>
    <t>ящ_300</t>
  </si>
  <si>
    <t>КОФ_350</t>
  </si>
  <si>
    <t>ящ_350</t>
  </si>
  <si>
    <t>КОФ_400</t>
  </si>
  <si>
    <t>ящ_400</t>
  </si>
  <si>
    <t>КОФ_500</t>
  </si>
  <si>
    <t>ящ_500</t>
  </si>
  <si>
    <t>КОФ_600</t>
  </si>
  <si>
    <t>ящ_600</t>
  </si>
  <si>
    <t>КОФ_700</t>
  </si>
  <si>
    <t xml:space="preserve"> Однолучевой УПР Ду300 мм, фланцевое присоедин., труба нерж.12Х18Н10Т, фланцы черн.ст20, Рмакс 16 атм, с  ПЭП, Тмакс 150ºС, IP65</t>
  </si>
  <si>
    <t xml:space="preserve"> Однолучевой УПР Ду150 мм, фланцевое присоедин., материал черн.сталь20 с покрытием, Рмакс 16 атм, с датчиками ПЭП, Тмакс 150 ºС, IP65</t>
  </si>
  <si>
    <t xml:space="preserve"> Однолучевой УПР Ду200 мм, фланцевое присоедин., материал черн.сталь20 с покрытием, Рмакс 16 атм, с датчиками ПЭП, Тмакс 150 ºС, IP65</t>
  </si>
  <si>
    <t xml:space="preserve"> Однолучевой УПР Ду250 мм, фланцевое присоедин., материал черн.сталь20 с покрытием, Рмакс 16 атм, с датчиками ПЭП, Тмакс 150 ºС, IP65</t>
  </si>
  <si>
    <t xml:space="preserve"> Однолучевой УПР Ду300 мм, фланцевое присоедин., материал черн.сталь20 с покрытием, Рмакс 16 атм, с датчиками ПЭП, Тмакс 150 ºС, IP65</t>
  </si>
  <si>
    <t xml:space="preserve"> Однолучевой УПР Ду350 мм, фланцевое присоедин., материал черн.сталь20 с покрытием, Рмакс 16 атм, с датчиками ПЭП, Тмакс 150 ºС, IP65</t>
  </si>
  <si>
    <t xml:space="preserve"> Однолучевой УПР Ду400 мм, фланцевое присоедин., материал черн.сталь20 с покрытием, Рмакс 16 атм, с датчиками ПЭП, Тмакс 150 ºС, IP65</t>
  </si>
  <si>
    <t xml:space="preserve"> Однолучевой УПР Ду500 мм, фланцевое присоедин., материал черн.сталь20 с покрытием, Рмакс 16 атм, с датчиками ПЭП, Тмакс 150 ºС, IP65</t>
  </si>
  <si>
    <t xml:space="preserve"> ОДНОЛУЧЕВЫЕ УПР, БЕСФЛАНЦЕВЫЕ ПОД СВАРКУ, ЧЕРН. СТАЛЬ</t>
  </si>
  <si>
    <t>фланцы</t>
  </si>
  <si>
    <t xml:space="preserve">КОФ -  </t>
  </si>
  <si>
    <t>ответные</t>
  </si>
  <si>
    <t xml:space="preserve">ПЭП, в которых установлены датчики ПЭП. Эксплуатация  -40...+50 ºС.  </t>
  </si>
  <si>
    <t xml:space="preserve">Варианты присоединения к трубопроводу: резьбовые или фланцевые или бесфланцевые под сварку. </t>
  </si>
  <si>
    <t>Двухлучевой УПР Ду1200 мм, бесфланц. под сварку, материал черн.сталь20 с покрытием, Рмакс 16 атм, с датчиками ПЭП, Тмакс 150ºС, IP65</t>
  </si>
  <si>
    <t>Двухлучевой УПР Ду1400 мм, бесфланц. под сварку, материал черн.сталь20 с покрытием, Рмакс 16 атм, с датчиками ПЭП, Тмакс 150ºС, IP65</t>
  </si>
  <si>
    <t>УПР_150ФСТ2</t>
  </si>
  <si>
    <t>УПР_200ФСТ2</t>
  </si>
  <si>
    <t>УПР_250ФСТ2</t>
  </si>
  <si>
    <t>УПР_300ФСТ2</t>
  </si>
  <si>
    <t>УПР_350ФСТ2</t>
  </si>
  <si>
    <t>УПР_400ФСТ2</t>
  </si>
  <si>
    <t>УПР_500ФСТ2</t>
  </si>
  <si>
    <r>
      <t xml:space="preserve">  </t>
    </r>
    <r>
      <rPr>
        <b/>
        <u/>
        <sz val="14"/>
        <rFont val="Verdana"/>
        <family val="2"/>
        <charset val="204"/>
      </rPr>
      <t>ОПЦИИ К ИБ</t>
    </r>
  </si>
  <si>
    <t>суммируется со стоимостью измерительного блока!</t>
  </si>
  <si>
    <r>
      <t xml:space="preserve"> КМЧ- </t>
    </r>
    <r>
      <rPr>
        <sz val="9"/>
        <rFont val="Arial Cyr"/>
        <charset val="204"/>
      </rPr>
      <t>комплект монтажных частей</t>
    </r>
  </si>
  <si>
    <t>КОФ</t>
  </si>
  <si>
    <t xml:space="preserve"> Комплект </t>
  </si>
  <si>
    <t xml:space="preserve"> ответных </t>
  </si>
  <si>
    <t xml:space="preserve"> прокладки.</t>
  </si>
  <si>
    <t>Материал КМЧ</t>
  </si>
  <si>
    <t xml:space="preserve"> фланцев, </t>
  </si>
  <si>
    <t xml:space="preserve"> крепеж, </t>
  </si>
  <si>
    <t xml:space="preserve"> Комплект на одну </t>
  </si>
  <si>
    <t xml:space="preserve"> трубу!</t>
  </si>
  <si>
    <t xml:space="preserve"> Кабель соединительный между ИБ и</t>
  </si>
  <si>
    <t xml:space="preserve"> Заказываются при необходимости.</t>
  </si>
  <si>
    <t>Ду, мм</t>
  </si>
  <si>
    <r>
      <t xml:space="preserve"> </t>
    </r>
    <r>
      <rPr>
        <b/>
        <u/>
        <sz val="10"/>
        <rFont val="Arial"/>
        <family val="2"/>
        <charset val="204"/>
      </rPr>
      <t/>
    </r>
  </si>
  <si>
    <t xml:space="preserve"> УПР, изготовленный в заводских условиях, представляет собой отрезок трубы из стали, на котором нарезана резьба (резьбовое соединение), или к торцам </t>
  </si>
  <si>
    <t xml:space="preserve">которого приварены два фланца (фланцевое соединение), или отторцован под сварку (бесфланцевое соединение). В средней зоне трубы приварены держатели </t>
  </si>
  <si>
    <t xml:space="preserve"> КОФ для УПР Ду 200     </t>
  </si>
  <si>
    <t xml:space="preserve"> КОФ для УПР Ду 300     </t>
  </si>
  <si>
    <t xml:space="preserve"> КОФ для УПР Ду 350     </t>
  </si>
  <si>
    <t xml:space="preserve"> КОФ для УПР Ду 800     </t>
  </si>
  <si>
    <t>ПОД СВАРКУ</t>
  </si>
  <si>
    <t xml:space="preserve">   1. ЭБ - Электронный блок US-800, нужного исполнения и с доп.опциями при необходимости, количество  1 шт </t>
  </si>
  <si>
    <t xml:space="preserve">  ОДНОКАНАЛЬНЫЙ ОДНОЛУЧЕВОЙ: </t>
  </si>
  <si>
    <t xml:space="preserve">  1 шт ЭБ US800-1х + 1 шт УПР однолуч + кабель</t>
  </si>
  <si>
    <t>Подробнее о комплектующих</t>
  </si>
  <si>
    <t>РАСПРЕДЕЛИТЕЛЬНАЯ КОРОБКА РК</t>
  </si>
  <si>
    <t>Распределительная коробка РК US800-4x</t>
  </si>
  <si>
    <t>Устройство формирования УФ US800-4х для однолуч.УПР</t>
  </si>
  <si>
    <t>Устройство формирования УФ US800-4х для двухлуч.УПР</t>
  </si>
  <si>
    <t xml:space="preserve">Кронштейн крепления КУФ УПР US800-4х </t>
  </si>
  <si>
    <t>предприятия.</t>
  </si>
  <si>
    <t xml:space="preserve"> Кабель соединительный между ИБ и каждым УПР.</t>
  </si>
  <si>
    <t xml:space="preserve">                Опции суммируются со стоимостью каждого УПР! </t>
  </si>
  <si>
    <t xml:space="preserve"> ДВУХКАНАЛЬНЫЙ ОДНОЛУЧЕВОЙ ЭБ</t>
  </si>
  <si>
    <t>УПР_1400ФСТ1</t>
  </si>
  <si>
    <t>УПР_150БФСТ1</t>
  </si>
  <si>
    <t>УПР_200БФСТ1</t>
  </si>
  <si>
    <t>УПР_250БФСТ1</t>
  </si>
  <si>
    <t>УПР_300БФСТ1</t>
  </si>
  <si>
    <t>УПР_350БФСТ1</t>
  </si>
  <si>
    <t>УПР_400БФСТ1</t>
  </si>
  <si>
    <t>УПР_600БФСТ1</t>
  </si>
  <si>
    <t>УПР_500БФСТ1</t>
  </si>
  <si>
    <t>УПР_700БФСТ1</t>
  </si>
  <si>
    <t>УПР_800БФСТ1</t>
  </si>
  <si>
    <t>УПР_900БФСТ1</t>
  </si>
  <si>
    <t>УПР_1400БФСТ1</t>
  </si>
  <si>
    <t>УПР_150БФСТ2</t>
  </si>
  <si>
    <t>УПР_200БФСТ2</t>
  </si>
  <si>
    <t>УПР_250БФСТ2</t>
  </si>
  <si>
    <t>УПР_300БФСТ2</t>
  </si>
  <si>
    <t>УПР_350БФСТ2</t>
  </si>
  <si>
    <t>УПР_400БФСТ2</t>
  </si>
  <si>
    <t>УПР_500БФСТ2</t>
  </si>
  <si>
    <t>УПР_600БФСТ2</t>
  </si>
  <si>
    <t>УПР_700БФСТ2</t>
  </si>
  <si>
    <t>УПР_800БФСТ2</t>
  </si>
  <si>
    <t>УПР_900БФСТ2</t>
  </si>
  <si>
    <t>УПР_1000БФСТ2</t>
  </si>
  <si>
    <t>УПР_1200БФСТ2</t>
  </si>
  <si>
    <t>УПР_1400БФСТ2</t>
  </si>
  <si>
    <t xml:space="preserve"> Подробнее о ЭБ: краткое описание, выходные сигналы, возможности</t>
  </si>
  <si>
    <t xml:space="preserve"> ОДНОКАНАЛЬНЫЙ ДВУХЛУЧЕВОЙ ЭБ</t>
  </si>
  <si>
    <t xml:space="preserve">   3. ТС - Термосопротивления с гильзами, количество до 1-2 пар, в зависимости от возможностей ИБ</t>
  </si>
  <si>
    <t xml:space="preserve">    ДВУХКАНАЛЬНЫЕ </t>
  </si>
  <si>
    <t xml:space="preserve">      ОДНОЛУЧЕВЫЕ</t>
  </si>
  <si>
    <t xml:space="preserve"> ЧЕТЫРЕХКАНАЛЬНЫЕ</t>
  </si>
  <si>
    <t xml:space="preserve"> УПР, 2 пары ТС, 4 ПД.</t>
  </si>
  <si>
    <t xml:space="preserve"> открытой системы теплоучета.</t>
  </si>
  <si>
    <t xml:space="preserve"> К 1 ИБ подсоединяется до 2 однолучевых  </t>
  </si>
  <si>
    <t xml:space="preserve"> УПР, 1 пара ТС, 2 ПД</t>
  </si>
  <si>
    <t xml:space="preserve"> Высокая точность, минимальные прямые </t>
  </si>
  <si>
    <t xml:space="preserve"> участки при монтаже.</t>
  </si>
  <si>
    <t xml:space="preserve"> открытой системы теплоучета. </t>
  </si>
  <si>
    <t xml:space="preserve"> К 1 ИБ подсоединяется до 2 двухлучевых </t>
  </si>
  <si>
    <t xml:space="preserve"> УПР, 1 пара ТС, 2 ПД.</t>
  </si>
  <si>
    <t xml:space="preserve"> Обслуживание до 4-х трубопроводов (2</t>
  </si>
  <si>
    <t xml:space="preserve"> контура, н-р, отопление и ГВС).</t>
  </si>
  <si>
    <t xml:space="preserve"> К 1 ИБ подсоединяется до 4-х однолучевых</t>
  </si>
  <si>
    <r>
      <t xml:space="preserve">                        </t>
    </r>
    <r>
      <rPr>
        <b/>
        <u/>
        <sz val="14"/>
        <rFont val="Verdana"/>
        <family val="2"/>
        <charset val="204"/>
      </rPr>
      <t>КОНФИГУРАЦИИ И КОМПЛЕКТАЦИИ РАСХОДОМЕРА</t>
    </r>
  </si>
  <si>
    <r>
      <t xml:space="preserve">                                   </t>
    </r>
    <r>
      <rPr>
        <b/>
        <u/>
        <sz val="14"/>
        <rFont val="Tahoma"/>
        <family val="2"/>
        <charset val="204"/>
      </rPr>
      <t>КОНФИГУРАЦИИ И КОМПЛЕКТАЦИИ ТЕПЛОСЧЕТЧИКА</t>
    </r>
  </si>
  <si>
    <r>
      <t xml:space="preserve">                                 </t>
    </r>
    <r>
      <rPr>
        <b/>
        <u/>
        <sz val="14"/>
        <rFont val="Verdana"/>
        <family val="2"/>
        <charset val="204"/>
      </rPr>
      <t>ДОПОЛНИТЕЛЬНЫЕ ОПЦИИ ПРИ НЕОБХОДИМОСТИ</t>
    </r>
  </si>
  <si>
    <r>
      <t xml:space="preserve">                                </t>
    </r>
    <r>
      <rPr>
        <b/>
        <u/>
        <sz val="14"/>
        <rFont val="Verdana"/>
        <family val="2"/>
        <charset val="204"/>
      </rPr>
      <t>ДОПОЛНИТЕЛЬНОЕ ОБОРУДОВАНИЕ ПРИ НЕОБХОДИМОСТИ</t>
    </r>
  </si>
  <si>
    <t>Электронный блок расходомера US-800 предназначен для обработки сигналов от ПЭП, вычисляет объем и расход и выводит информацию.</t>
  </si>
  <si>
    <t>Эбр_исп</t>
  </si>
  <si>
    <t>Эбр_номер</t>
  </si>
  <si>
    <t>Эбр_цена</t>
  </si>
  <si>
    <t xml:space="preserve"> УПР-300БФ-СТ20 двухлуч. </t>
  </si>
  <si>
    <t xml:space="preserve"> УПР-350БФ-СТ20 двухлуч.</t>
  </si>
  <si>
    <t xml:space="preserve"> УПР-400БФ-СТ20 двухлуч.</t>
  </si>
  <si>
    <t xml:space="preserve"> УПР-500БФ-СТ20 двухлуч.</t>
  </si>
  <si>
    <r>
      <rPr>
        <b/>
        <sz val="8"/>
        <rFont val="Arial Cyr"/>
        <charset val="204"/>
      </rPr>
      <t xml:space="preserve">Комплектуется только с опцией  "ПМЗ/DIF"!  </t>
    </r>
    <r>
      <rPr>
        <sz val="8"/>
        <rFont val="Arial Cyr"/>
        <charset val="204"/>
      </rPr>
      <t xml:space="preserve">Внимание! При расчете учитывать: один однолучевой УПР - одна нитка кабеля! </t>
    </r>
  </si>
  <si>
    <r>
      <rPr>
        <b/>
        <sz val="8"/>
        <rFont val="Arial Cyr"/>
        <charset val="204"/>
      </rPr>
      <t xml:space="preserve">Комплектуется только с опцией  "ПМЗ/DIF"! </t>
    </r>
    <r>
      <rPr>
        <sz val="8"/>
        <rFont val="Arial Cyr"/>
        <charset val="204"/>
      </rPr>
      <t xml:space="preserve"> Внимание! При расчете учитывать: один двухлучевой УПР - одна нитка кабеля! </t>
    </r>
  </si>
  <si>
    <t xml:space="preserve">   3а. Если длина кабеля до 500 м и нет опции "ПМЗ/DIF": применяется кабель РК-50-2-11 - соединительный между УПР и ЭБ, длина от 5 до 500 м к каждому датчику на УПР</t>
  </si>
  <si>
    <t xml:space="preserve"> прайс лист от , цены без НДС 20%</t>
  </si>
  <si>
    <r>
      <t xml:space="preserve">Блок индикации US800, четыре канала измерения при присоединении однолучевых УПР (два канала измерения при присоединении двухлучевых УПР),  подключается до 4 шт однолучевых УПР (или до 2 шт двухлучевых УПР). Индикация, Архив, цифровой интерфейс RS485 (ModBus, DCON), на каждый канал гальванически развязанный частотный (0-1000 Гц) /импульсный выход, </t>
    </r>
    <r>
      <rPr>
        <b/>
        <sz val="8"/>
        <color indexed="47"/>
        <rFont val="Arial Cyr"/>
        <family val="2"/>
        <charset val="204"/>
      </rPr>
      <t xml:space="preserve">2 шт гальванически развязанных аналоговых (токовых) 4-20 мА выходов, </t>
    </r>
    <r>
      <rPr>
        <sz val="8"/>
        <color indexed="47"/>
        <rFont val="Arial Cyr"/>
        <family val="2"/>
        <charset val="204"/>
      </rPr>
      <t xml:space="preserve">прямопропорциональных расходу. Возможности: объединение в сеть, подключение GSM-модема, верхний уровень, диспетчеризация; через конвертеры и адаптеры: подключение к ПК, ноутбуку, в сеть Ethernet, вывод информации в систему АСУТП.  Питание 220В/24В пост.тока, блок питания в комплекте. Пылевлагозащита IP54. Эксплуатация в сух.помещении от +5 град.С. </t>
    </r>
  </si>
  <si>
    <r>
      <t xml:space="preserve">Доработка прибора на нестандартные жидкости, отличающиеся от воды: сточные воды, загрязненная вода, мазуты, масла, нефтепрод., хим.растворы, и пр.  </t>
    </r>
    <r>
      <rPr>
        <b/>
        <sz val="8"/>
        <color indexed="47"/>
        <rFont val="Arial Cyr"/>
        <family val="2"/>
        <charset val="204"/>
      </rPr>
      <t xml:space="preserve">Имеются ограничения и особенности эксплуатации, возможность применения требует согласования! </t>
    </r>
    <r>
      <rPr>
        <sz val="8"/>
        <color indexed="47"/>
        <rFont val="Arial Cyr"/>
        <family val="2"/>
        <charset val="204"/>
      </rPr>
      <t xml:space="preserve">  </t>
    </r>
  </si>
  <si>
    <r>
      <t xml:space="preserve">Цена за 1 метр, Кабель 50 Ом высокочастотный коаксиальный, соединительный кабель между ЭБ (ИБ) и УПР. Внимание! При расчете кабеля учитывать количество датчиков в УПР (в однолучевом 2 датчика, в двухлучевом 4 датчика)!! По заказу от 5 до 500 метров </t>
    </r>
    <r>
      <rPr>
        <b/>
        <sz val="9"/>
        <rFont val="Arial"/>
        <family val="2"/>
        <charset val="204"/>
      </rPr>
      <t>(если нужно более 500 метров - заказывайте опцию "ПМЗ/DIF"+кабель КСС!)</t>
    </r>
  </si>
  <si>
    <t xml:space="preserve"> Кабель КСС2Э  наруж./внутр. (или аналог)</t>
  </si>
  <si>
    <t xml:space="preserve"> Кабель КСС4Э  наруж./внутр. (или аналог)</t>
  </si>
  <si>
    <t xml:space="preserve"> Кабель КСС2Э  наруж./внутр.   или аналог</t>
  </si>
  <si>
    <t xml:space="preserve"> Кабель КСС4Э  наруж./внутр.        или аналог</t>
  </si>
  <si>
    <t xml:space="preserve">   3б. Если длина кабеля более 500 м, и/или Ду от 800 мм, и/или есть опция "ПМЗ/DIF": применяется спецкабель КСС (или аналогичный), длина от 5 до 1000 м к каждому УПР</t>
  </si>
  <si>
    <t>14000 /луч</t>
  </si>
  <si>
    <t>26250 /луч</t>
  </si>
  <si>
    <t>8400 /луч</t>
  </si>
  <si>
    <t>11200 /луч</t>
  </si>
  <si>
    <t>5250 /луч</t>
  </si>
  <si>
    <t>105/105</t>
  </si>
  <si>
    <t>210/210</t>
  </si>
  <si>
    <t>нет</t>
  </si>
  <si>
    <t xml:space="preserve"> 150-1600      под сварку            сталь20</t>
  </si>
  <si>
    <t xml:space="preserve"> 150-1600     под сварку                 сталь20</t>
  </si>
  <si>
    <t>17500 /луч</t>
  </si>
  <si>
    <t>132 /132</t>
  </si>
  <si>
    <t>263/ 263</t>
  </si>
  <si>
    <t xml:space="preserve"> 150-1600     под сварку                сталь20</t>
  </si>
  <si>
    <t xml:space="preserve"> 150-1600      под сварку           сталь20</t>
  </si>
  <si>
    <t xml:space="preserve">по запросу </t>
  </si>
  <si>
    <t>51 руб/м</t>
  </si>
  <si>
    <t>70 руб/м</t>
  </si>
  <si>
    <t>140 руб/м</t>
  </si>
  <si>
    <t xml:space="preserve">265/ 265 </t>
  </si>
  <si>
    <t>135/ 135</t>
  </si>
  <si>
    <r>
      <rPr>
        <b/>
        <sz val="8"/>
        <rFont val="Arial Cyr"/>
        <charset val="204"/>
      </rPr>
      <t xml:space="preserve">Комплектуется только с опцией  "ПМЗ-DIF"!  </t>
    </r>
    <r>
      <rPr>
        <sz val="8"/>
        <rFont val="Arial Cyr"/>
        <charset val="204"/>
      </rPr>
      <t xml:space="preserve">Внимание! При расчете учитывать: один однолучевой УПР - одна нитка кабеля! </t>
    </r>
  </si>
  <si>
    <r>
      <rPr>
        <b/>
        <sz val="8"/>
        <rFont val="Arial Cyr"/>
        <charset val="204"/>
      </rPr>
      <t>Комплектуется только с опцией  "ПМЗ-DIF"!</t>
    </r>
    <r>
      <rPr>
        <sz val="8"/>
        <rFont val="Arial Cyr"/>
        <charset val="204"/>
      </rPr>
      <t xml:space="preserve">  Внимание! При расчете учитывать: один двухлучевой УПР - одна нитка кабеля! </t>
    </r>
  </si>
  <si>
    <t>Комплект КМЧ-800 двухлуч. с шаровыми кранами (ШК) на держателях ПЭП для замены/очистки ПЭП без остановки трубопровода, DN 200-2000 мм. Материал Сталь20. Р макс 25 атм. Для двухлучевого УПР - требуется 2 комплекта. Указана цена - за 1 комплект</t>
  </si>
  <si>
    <t xml:space="preserve">Комплект КМЧ-800 однолуч. с шаровыми кранами (ШК) на держателях ПЭП для замены/очистки ПЭП без остановки трубопровода, DN 200-2000 мм. Материал Сталь20. Р макс 25 атм. </t>
  </si>
  <si>
    <t>Комплект монтажных частей (бобышки-держатели ПЭП и гайки) двухлучевые для монтажа на трубу DN 250-2000 по месту эксплуатации. Материал нерж. 12Х18Н10Т. Р макс 25 атм. Не применяется для трубопроводов из черной стали!  Для двухлучевого УПР - требуется 2 комплекта. Указана цена за 1 комплект</t>
  </si>
  <si>
    <t>Комплект монтажных частей (бобышки-держатели ПЭП и гайки) двухлучевые для монтажа на трубу DN 250-2000 по месту эксплуатации. Материал Сталь20.     Р макс 25 атм. Для двухлучевого УПР - требуется 2 комплекта. Указана цена за 1 комплект</t>
  </si>
  <si>
    <t xml:space="preserve"> Опция "ПП212"</t>
  </si>
  <si>
    <t xml:space="preserve"> Опция "ПП212 IP68"</t>
  </si>
  <si>
    <t xml:space="preserve"> Датчик ПП212</t>
  </si>
  <si>
    <t xml:space="preserve"> Датчик ПП212 IP68</t>
  </si>
  <si>
    <t>КМЧ - бобышки-держатели ПЭП с гайками, двухлучевое исполнение, материал черн.сталь20, Р макс 25 атм. Требуется 2 комплекта, цена за 1 комплект</t>
  </si>
  <si>
    <t>Датчик ПЭП, Тмакс 150ºС, IP65. Требуется 2 комплекта, цена за 1 комплект</t>
  </si>
  <si>
    <t xml:space="preserve"> Преобразователи давления и по 10 метров кабеля к ним. </t>
  </si>
  <si>
    <r>
      <t xml:space="preserve">Доработка прибора на нестандартный теплоноситель, отличающийся от воды: загрязненная вода, этиленгликоль /  пропилегликоль, антифризы, масло, и пр.  </t>
    </r>
    <r>
      <rPr>
        <b/>
        <sz val="8"/>
        <rFont val="Arial Cyr"/>
        <charset val="204"/>
      </rPr>
      <t>Имеются ограничения и особенности эксплуатации, возможность применения требует согласования!  Добавляется на каждый канал/луч.</t>
    </r>
  </si>
  <si>
    <r>
      <t xml:space="preserve">Доработка прибора на нестандартный теплоноситель, отличающийся от воды: загрязненная вода, этиленгликоль /  пропилегликоль, антифризы, масло, и пр.  </t>
    </r>
    <r>
      <rPr>
        <b/>
        <sz val="9"/>
        <rFont val="Arial"/>
        <family val="2"/>
        <charset val="204"/>
      </rPr>
      <t xml:space="preserve">Имеются ограничения и особенности эксплуатации, возможность применения требует согласования!  Добавляется на каждый канал/луч           </t>
    </r>
    <r>
      <rPr>
        <sz val="9"/>
        <rFont val="Arial"/>
        <family val="2"/>
        <charset val="204"/>
      </rPr>
      <t xml:space="preserve">                 </t>
    </r>
    <r>
      <rPr>
        <b/>
        <sz val="9"/>
        <rFont val="Arial"/>
        <family val="2"/>
        <charset val="204"/>
      </rPr>
      <t/>
    </r>
  </si>
  <si>
    <r>
      <t xml:space="preserve">Доработка, усилитель выходного сигнала и датчики с усиленным выходным сигналом. Доработка на нестандартные жидкости, отличающиеся от воды: сточные воды, загрязненная вода, мазуты, масла, нефтепрод., хим.растворы. </t>
    </r>
    <r>
      <rPr>
        <b/>
        <sz val="9"/>
        <rFont val="Arial"/>
        <family val="2"/>
        <charset val="204"/>
      </rPr>
      <t>Имеются ограничения и особенности эксплуатации, возможность применения требует согласования!</t>
    </r>
    <r>
      <rPr>
        <sz val="9"/>
        <rFont val="Arial"/>
        <family val="2"/>
        <charset val="204"/>
      </rPr>
      <t xml:space="preserve">   </t>
    </r>
    <r>
      <rPr>
        <b/>
        <sz val="9"/>
        <rFont val="Arial"/>
        <family val="2"/>
        <charset val="204"/>
      </rPr>
      <t xml:space="preserve">Добавляется на каждый канал/луч. </t>
    </r>
    <r>
      <rPr>
        <sz val="9"/>
        <rFont val="Arial"/>
        <family val="2"/>
        <charset val="204"/>
      </rPr>
      <t xml:space="preserve">             </t>
    </r>
    <r>
      <rPr>
        <b/>
        <sz val="9"/>
        <rFont val="Arial"/>
        <family val="2"/>
        <charset val="204"/>
      </rPr>
      <t/>
    </r>
  </si>
  <si>
    <r>
      <t xml:space="preserve">Доработка, установка каскада выходных транзисторов и микросхем с усиленным сигналом. </t>
    </r>
    <r>
      <rPr>
        <b/>
        <u/>
        <sz val="9"/>
        <rFont val="Arial"/>
        <family val="2"/>
        <charset val="204"/>
      </rPr>
      <t>Помехозащищенное исполнение,</t>
    </r>
    <r>
      <rPr>
        <sz val="9"/>
        <rFont val="Arial"/>
        <family val="2"/>
        <charset val="204"/>
      </rPr>
      <t xml:space="preserve"> для сложных условий эксплуатации, для нестандартной жидкости, при наличии мощных помех (от частотных приводов, мощных нагрузок, при переключении мощных нагрузок, и т.п..), при длинном кабеле (от 200 м до 500 м), при любых диаметрах. </t>
    </r>
    <r>
      <rPr>
        <b/>
        <sz val="9"/>
        <rFont val="Arial"/>
        <family val="2"/>
        <charset val="204"/>
      </rPr>
      <t xml:space="preserve"> Имеются ограничения и особенности эксплуатации, возможность применения требует согласования!  Добавляется на каждый канал/луч.    </t>
    </r>
  </si>
  <si>
    <r>
      <t xml:space="preserve">Доработка, дифференциальная передача УЗ импульсов на УПР, дополнительно комплектуется БПС (блок передачи сигналов), обязательно применение с кабелем КСС. </t>
    </r>
    <r>
      <rPr>
        <b/>
        <u/>
        <sz val="9"/>
        <rFont val="Arial"/>
        <family val="2"/>
        <charset val="204"/>
      </rPr>
      <t>Помехозащищенное исполнение,</t>
    </r>
    <r>
      <rPr>
        <sz val="9"/>
        <rFont val="Arial"/>
        <family val="2"/>
        <charset val="204"/>
      </rPr>
      <t xml:space="preserve"> для сложных условий эксплуатации, при наличии мощных помех (от частотных приводов, мощных нагрузок, при переключении мощных нагрузок, и т.п.). Рекомендовано применять при длинном кабеле (500-1000 м), или на большие Ду (более 800 мм вкл.). </t>
    </r>
    <r>
      <rPr>
        <b/>
        <sz val="9"/>
        <rFont val="Arial"/>
        <family val="2"/>
        <charset val="204"/>
      </rPr>
      <t xml:space="preserve">С данной опцией обязательно приобретается кабель КСС2Э или КСС4Э (в зависимости от исполнения УПР и ЭБ) или аналогичный. С кабелем РК-50-2-11 эта опция не применяется! Имеются ограничения и особенности эксплуатации, возможность применения требует согласования!  Добавляется на каждый канал/луч.    </t>
    </r>
  </si>
  <si>
    <r>
      <t xml:space="preserve">Доработка, дифференциальная передача УЗ импульсов на УПР, дополнительно комплектуется БПС (блок передачи сигналов), обязательно применение с кабелем КСС. Помехозащищенное исполнение, для сложных условий эксплуатации, при наличии мощных помех (от частотных приводов, мощных нагрузок, при переключении мощных нагрузок, и т.п.). Рекомендовано применять при длинном кабеле (500-1000 м), или на большие Ду (более 800 мм вкл.). </t>
    </r>
    <r>
      <rPr>
        <b/>
        <sz val="8"/>
        <rFont val="Arial Cyr"/>
        <charset val="204"/>
      </rPr>
      <t>С данной опцией обязательно приобретается кабель КСС2Э или КСС4Э (в зависимости от исполнения УПР и ЭБ) или аналогичный</t>
    </r>
    <r>
      <rPr>
        <sz val="8"/>
        <rFont val="Arial Cyr"/>
        <family val="2"/>
        <charset val="204"/>
      </rPr>
      <t xml:space="preserve">. </t>
    </r>
    <r>
      <rPr>
        <b/>
        <sz val="8"/>
        <rFont val="Arial Cyr"/>
        <charset val="204"/>
      </rPr>
      <t>С кабелем РК-50-2-11 эта опция не применяется! Имеются ограничения и особенности эксплуатации, возможность применения требует согласования! Добавляется на каждый канал/луч.</t>
    </r>
  </si>
  <si>
    <r>
      <t xml:space="preserve">Доработка, установка каскада выходных транзисторов и микросхем с усиленным сигналом. Помехозащищенное исполнение, для сложных условий эксплуатации, для нестандартной жидкости, при наличии мощных помех (от частотных приводов, мощных нагрузок, при переключении мощных нагрузок, и т.п..), при длинном кабеле (от 200 м до 500 м), при любых диаметрах.  </t>
    </r>
    <r>
      <rPr>
        <b/>
        <sz val="8"/>
        <rFont val="Arial Cyr"/>
        <charset val="204"/>
      </rPr>
      <t>Имеются ограничения и особенности эксплуатации, возможность применения требует согласования! Добавляется на каждый канал/луч.</t>
    </r>
  </si>
  <si>
    <r>
      <t xml:space="preserve">Доработка прибора на нестандартные жидкости, отличающиеся от воды: сточные воды, загрязненная вода, мазуты, масла, нефтепрод., хим.растворы, и пр.  </t>
    </r>
    <r>
      <rPr>
        <b/>
        <sz val="8"/>
        <rFont val="Arial Cyr"/>
        <charset val="204"/>
      </rPr>
      <t>Имеются ограничения и особенности эксплуатации, возможность применения требует согласования!  Добавляется на каждый канал/луч.</t>
    </r>
    <r>
      <rPr>
        <sz val="8"/>
        <rFont val="Arial Cyr"/>
        <family val="2"/>
        <charset val="204"/>
      </rPr>
      <t xml:space="preserve">  </t>
    </r>
  </si>
  <si>
    <t xml:space="preserve"> 13 620 руб /2шт</t>
  </si>
  <si>
    <t xml:space="preserve"> 27 240 руб /4шт</t>
  </si>
  <si>
    <t>По вопросам продаж и поддержки обращайтесь:</t>
  </si>
  <si>
    <t>Сайт: http://encont.nt-rt.ru  ||  Эл.почта: acl@nt-rt.ru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</si>
</sst>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Red]#,##0"/>
    <numFmt numFmtId="165" formatCode="0;[Red]0"/>
  </numFmts>
  <fonts count="186" x14ac:knownFonts="1">
    <font>
      <sz val="10"/>
      <name val="Arial Cyr"/>
      <charset val="204"/>
    </font>
    <font>
      <b/>
      <sz val="10"/>
      <name val="Arial Cyr"/>
      <charset val="204"/>
    </font>
    <font>
      <sz val="10"/>
      <name val="Arial Cyr"/>
      <charset val="204"/>
    </font>
    <font>
      <u/>
      <sz val="15"/>
      <color indexed="12"/>
      <name val="Arial Cyr"/>
      <charset val="204"/>
    </font>
    <font>
      <b/>
      <sz val="12"/>
      <name val="Arial Cyr"/>
      <family val="2"/>
      <charset val="204"/>
    </font>
    <font>
      <sz val="12"/>
      <name val="Arial Cyr"/>
      <family val="2"/>
      <charset val="204"/>
    </font>
    <font>
      <b/>
      <sz val="9"/>
      <name val="Arial"/>
      <family val="2"/>
    </font>
    <font>
      <b/>
      <sz val="10"/>
      <name val="Arial Cyr"/>
      <family val="2"/>
      <charset val="204"/>
    </font>
    <font>
      <b/>
      <sz val="10"/>
      <name val="Arial"/>
      <family val="2"/>
    </font>
    <font>
      <b/>
      <sz val="7"/>
      <name val="Arial"/>
      <family val="2"/>
    </font>
    <font>
      <sz val="9"/>
      <name val="Arial Cyr"/>
      <family val="2"/>
      <charset val="204"/>
    </font>
    <font>
      <b/>
      <sz val="8"/>
      <name val="Arial"/>
      <family val="2"/>
    </font>
    <font>
      <sz val="10"/>
      <name val="Arial"/>
      <family val="2"/>
    </font>
    <font>
      <sz val="10"/>
      <name val="Arial Cyr"/>
      <family val="2"/>
      <charset val="204"/>
    </font>
    <font>
      <b/>
      <sz val="12"/>
      <color indexed="56"/>
      <name val="Arial Cyr"/>
      <family val="2"/>
      <charset val="204"/>
    </font>
    <font>
      <sz val="9"/>
      <name val="Arial Cyr"/>
      <charset val="204"/>
    </font>
    <font>
      <b/>
      <sz val="12"/>
      <name val="Arial"/>
      <family val="2"/>
    </font>
    <font>
      <b/>
      <sz val="8"/>
      <name val="Arial Cyr"/>
      <family val="2"/>
      <charset val="204"/>
    </font>
    <font>
      <sz val="8"/>
      <name val="Arial Cyr"/>
      <family val="2"/>
      <charset val="204"/>
    </font>
    <font>
      <b/>
      <sz val="10"/>
      <color indexed="12"/>
      <name val="Arial"/>
      <family val="2"/>
    </font>
    <font>
      <sz val="8"/>
      <name val="Arial Cyr"/>
      <charset val="204"/>
    </font>
    <font>
      <b/>
      <sz val="12"/>
      <color indexed="62"/>
      <name val="Arial Cyr"/>
      <charset val="204"/>
    </font>
    <font>
      <b/>
      <sz val="12"/>
      <name val="Arial"/>
      <family val="2"/>
      <charset val="204"/>
    </font>
    <font>
      <b/>
      <sz val="10"/>
      <name val="Arial"/>
      <family val="2"/>
      <charset val="204"/>
    </font>
    <font>
      <b/>
      <sz val="9"/>
      <name val="Arial Cyr"/>
      <family val="2"/>
      <charset val="204"/>
    </font>
    <font>
      <b/>
      <sz val="9"/>
      <name val="Arial"/>
      <family val="2"/>
      <charset val="204"/>
    </font>
    <font>
      <b/>
      <sz val="8"/>
      <name val="Arial"/>
      <family val="2"/>
      <charset val="204"/>
    </font>
    <font>
      <b/>
      <sz val="9.5"/>
      <name val="Arial Cyr"/>
      <family val="2"/>
      <charset val="204"/>
    </font>
    <font>
      <sz val="9.5"/>
      <name val="Arial Cyr"/>
      <charset val="204"/>
    </font>
    <font>
      <sz val="9.5"/>
      <name val="Arial Cyr"/>
      <family val="2"/>
      <charset val="204"/>
    </font>
    <font>
      <b/>
      <sz val="9.5"/>
      <name val="Arial Cyr"/>
      <charset val="204"/>
    </font>
    <font>
      <b/>
      <u/>
      <sz val="10"/>
      <color indexed="12"/>
      <name val="Arial Cyr"/>
      <charset val="204"/>
    </font>
    <font>
      <b/>
      <sz val="9"/>
      <color indexed="9"/>
      <name val="Arial Cyr"/>
      <family val="2"/>
      <charset val="204"/>
    </font>
    <font>
      <sz val="10"/>
      <name val="Verdana"/>
      <family val="2"/>
      <charset val="204"/>
    </font>
    <font>
      <b/>
      <sz val="10"/>
      <name val="Verdana"/>
      <family val="2"/>
      <charset val="204"/>
    </font>
    <font>
      <sz val="10"/>
      <color indexed="18"/>
      <name val="Arial Cyr"/>
      <family val="2"/>
      <charset val="204"/>
    </font>
    <font>
      <b/>
      <sz val="10"/>
      <color indexed="18"/>
      <name val="Arial Cyr"/>
      <family val="2"/>
      <charset val="204"/>
    </font>
    <font>
      <sz val="10"/>
      <name val="Arial"/>
      <family val="2"/>
      <charset val="204"/>
    </font>
    <font>
      <sz val="8"/>
      <name val="Arial"/>
      <family val="2"/>
      <charset val="204"/>
    </font>
    <font>
      <sz val="10"/>
      <color indexed="9"/>
      <name val="Verdana"/>
      <family val="2"/>
      <charset val="204"/>
    </font>
    <font>
      <b/>
      <sz val="10"/>
      <color indexed="9"/>
      <name val="Verdana"/>
      <family val="2"/>
      <charset val="204"/>
    </font>
    <font>
      <b/>
      <sz val="12"/>
      <color indexed="9"/>
      <name val="Verdana"/>
      <family val="2"/>
      <charset val="204"/>
    </font>
    <font>
      <b/>
      <i/>
      <sz val="10"/>
      <color indexed="9"/>
      <name val="Verdana"/>
      <family val="2"/>
      <charset val="204"/>
    </font>
    <font>
      <sz val="10"/>
      <color indexed="62"/>
      <name val="Arial Cyr"/>
      <charset val="204"/>
    </font>
    <font>
      <b/>
      <sz val="10"/>
      <color indexed="10"/>
      <name val="Arial"/>
      <family val="2"/>
      <charset val="204"/>
    </font>
    <font>
      <b/>
      <sz val="10"/>
      <color indexed="10"/>
      <name val="Arial"/>
      <family val="2"/>
    </font>
    <font>
      <b/>
      <sz val="10"/>
      <color indexed="10"/>
      <name val="Arial Cyr"/>
      <family val="2"/>
      <charset val="204"/>
    </font>
    <font>
      <b/>
      <sz val="10"/>
      <color indexed="10"/>
      <name val="Arial Cyr"/>
      <charset val="204"/>
    </font>
    <font>
      <b/>
      <sz val="9"/>
      <name val="Arial Cyr"/>
      <charset val="204"/>
    </font>
    <font>
      <sz val="9"/>
      <name val="Arial"/>
      <family val="2"/>
      <charset val="204"/>
    </font>
    <font>
      <b/>
      <sz val="9"/>
      <color indexed="9"/>
      <name val="Arial"/>
      <family val="2"/>
      <charset val="204"/>
    </font>
    <font>
      <b/>
      <sz val="8"/>
      <color indexed="9"/>
      <name val="Arial Cyr"/>
      <charset val="204"/>
    </font>
    <font>
      <b/>
      <u/>
      <sz val="10"/>
      <name val="Arial"/>
      <family val="2"/>
      <charset val="204"/>
    </font>
    <font>
      <b/>
      <sz val="12"/>
      <name val="Arial Cyr"/>
      <charset val="204"/>
    </font>
    <font>
      <b/>
      <i/>
      <sz val="10"/>
      <name val="Verdana"/>
      <family val="2"/>
      <charset val="204"/>
    </font>
    <font>
      <sz val="8"/>
      <color indexed="10"/>
      <name val="Arial"/>
      <family val="2"/>
      <charset val="204"/>
    </font>
    <font>
      <b/>
      <sz val="8"/>
      <name val="Arial Cyr"/>
      <charset val="204"/>
    </font>
    <font>
      <b/>
      <u/>
      <sz val="12"/>
      <name val="Arial Cyr"/>
      <charset val="204"/>
    </font>
    <font>
      <b/>
      <sz val="10"/>
      <color indexed="9"/>
      <name val="Arial Cyr"/>
      <charset val="204"/>
    </font>
    <font>
      <b/>
      <u/>
      <sz val="14"/>
      <name val="Verdana"/>
      <family val="2"/>
      <charset val="204"/>
    </font>
    <font>
      <b/>
      <sz val="14"/>
      <name val="Verdana"/>
      <family val="2"/>
      <charset val="204"/>
    </font>
    <font>
      <sz val="10"/>
      <name val="Broadway"/>
      <family val="5"/>
    </font>
    <font>
      <i/>
      <sz val="10"/>
      <name val="Verdana"/>
      <family val="2"/>
      <charset val="204"/>
    </font>
    <font>
      <b/>
      <sz val="20"/>
      <name val="Verdana"/>
      <family val="2"/>
      <charset val="204"/>
    </font>
    <font>
      <sz val="9"/>
      <color indexed="9"/>
      <name val="Arial Narrow"/>
      <family val="2"/>
      <charset val="204"/>
    </font>
    <font>
      <sz val="8"/>
      <color indexed="9"/>
      <name val="Arial"/>
      <family val="2"/>
      <charset val="204"/>
    </font>
    <font>
      <b/>
      <u/>
      <sz val="9"/>
      <name val="Arial Cyr"/>
      <charset val="204"/>
    </font>
    <font>
      <b/>
      <sz val="11"/>
      <color indexed="9"/>
      <name val="Arial Cyr"/>
      <charset val="204"/>
    </font>
    <font>
      <b/>
      <sz val="8"/>
      <color indexed="63"/>
      <name val="Arial"/>
      <family val="2"/>
    </font>
    <font>
      <sz val="8"/>
      <color indexed="63"/>
      <name val="Arial"/>
      <family val="2"/>
      <charset val="204"/>
    </font>
    <font>
      <b/>
      <sz val="12"/>
      <color indexed="63"/>
      <name val="Arial Cyr"/>
      <family val="2"/>
      <charset val="204"/>
    </font>
    <font>
      <b/>
      <sz val="11"/>
      <name val="Arial Cyr"/>
      <charset val="204"/>
    </font>
    <font>
      <b/>
      <sz val="11"/>
      <name val="Arial"/>
      <family val="2"/>
    </font>
    <font>
      <b/>
      <sz val="11"/>
      <name val="Arial Cyr"/>
      <family val="2"/>
      <charset val="204"/>
    </font>
    <font>
      <b/>
      <sz val="9"/>
      <color indexed="9"/>
      <name val="Arial Cyr"/>
      <charset val="204"/>
    </font>
    <font>
      <b/>
      <u/>
      <sz val="9"/>
      <name val="Arial Cyr"/>
      <family val="2"/>
      <charset val="204"/>
    </font>
    <font>
      <b/>
      <sz val="10"/>
      <color indexed="63"/>
      <name val="Arial"/>
      <family val="2"/>
    </font>
    <font>
      <b/>
      <sz val="10"/>
      <color indexed="63"/>
      <name val="Arial Cyr"/>
      <family val="2"/>
      <charset val="204"/>
    </font>
    <font>
      <b/>
      <sz val="10"/>
      <color indexed="11"/>
      <name val="Arial"/>
      <family val="2"/>
      <charset val="204"/>
    </font>
    <font>
      <sz val="8"/>
      <color indexed="63"/>
      <name val="Arial Cyr"/>
      <family val="2"/>
      <charset val="204"/>
    </font>
    <font>
      <b/>
      <sz val="8"/>
      <color indexed="63"/>
      <name val="Arial Cyr"/>
      <charset val="204"/>
    </font>
    <font>
      <b/>
      <sz val="10"/>
      <name val="Tahoma"/>
      <family val="2"/>
      <charset val="204"/>
    </font>
    <font>
      <b/>
      <u/>
      <sz val="14"/>
      <name val="Tahoma"/>
      <family val="2"/>
      <charset val="204"/>
    </font>
    <font>
      <b/>
      <sz val="14"/>
      <name val="Tahoma"/>
      <family val="2"/>
      <charset val="204"/>
    </font>
    <font>
      <b/>
      <sz val="16"/>
      <name val="Tahoma"/>
      <family val="2"/>
      <charset val="204"/>
    </font>
    <font>
      <u/>
      <sz val="8"/>
      <name val="Arial"/>
      <family val="2"/>
      <charset val="204"/>
    </font>
    <font>
      <b/>
      <u/>
      <sz val="9"/>
      <color indexed="12"/>
      <name val="Arial Cyr"/>
      <charset val="204"/>
    </font>
    <font>
      <b/>
      <sz val="12"/>
      <name val="Arial Black"/>
      <family val="2"/>
      <charset val="204"/>
    </font>
    <font>
      <b/>
      <sz val="10"/>
      <name val="Arial Black"/>
      <family val="2"/>
      <charset val="204"/>
    </font>
    <font>
      <u/>
      <sz val="14"/>
      <name val="Verdana"/>
      <family val="2"/>
      <charset val="204"/>
    </font>
    <font>
      <b/>
      <sz val="10"/>
      <color indexed="43"/>
      <name val="Verdana"/>
      <family val="2"/>
      <charset val="204"/>
    </font>
    <font>
      <b/>
      <sz val="10"/>
      <color indexed="48"/>
      <name val="Verdana"/>
      <family val="2"/>
      <charset val="204"/>
    </font>
    <font>
      <b/>
      <sz val="14"/>
      <color indexed="18"/>
      <name val="Verdana"/>
      <family val="2"/>
      <charset val="204"/>
    </font>
    <font>
      <sz val="10"/>
      <color indexed="18"/>
      <name val="Arial Cyr"/>
      <charset val="204"/>
    </font>
    <font>
      <b/>
      <u/>
      <sz val="14"/>
      <color indexed="18"/>
      <name val="Verdana"/>
      <family val="2"/>
      <charset val="204"/>
    </font>
    <font>
      <b/>
      <sz val="10"/>
      <color indexed="18"/>
      <name val="Tahoma"/>
      <family val="2"/>
      <charset val="204"/>
    </font>
    <font>
      <b/>
      <sz val="10"/>
      <color indexed="18"/>
      <name val="Verdana"/>
      <family val="2"/>
      <charset val="204"/>
    </font>
    <font>
      <b/>
      <sz val="14"/>
      <color indexed="18"/>
      <name val="Tahoma"/>
      <family val="2"/>
      <charset val="204"/>
    </font>
    <font>
      <b/>
      <sz val="12"/>
      <name val="Tahoma"/>
      <family val="2"/>
      <charset val="204"/>
    </font>
    <font>
      <b/>
      <sz val="11"/>
      <name val="Arial Black"/>
      <family val="2"/>
      <charset val="204"/>
    </font>
    <font>
      <b/>
      <sz val="8"/>
      <name val="Tahoma"/>
      <family val="2"/>
      <charset val="204"/>
    </font>
    <font>
      <b/>
      <sz val="10"/>
      <color indexed="9"/>
      <name val="Arial"/>
      <family val="2"/>
      <charset val="204"/>
    </font>
    <font>
      <sz val="10"/>
      <name val="Arial Cyr"/>
      <charset val="204"/>
    </font>
    <font>
      <b/>
      <u/>
      <sz val="9.5"/>
      <color indexed="12"/>
      <name val="Arial Cyr"/>
      <charset val="204"/>
    </font>
    <font>
      <sz val="12"/>
      <name val="Arial"/>
      <family val="2"/>
      <charset val="204"/>
    </font>
    <font>
      <b/>
      <sz val="16"/>
      <name val="Verdana"/>
      <family val="2"/>
      <charset val="204"/>
    </font>
    <font>
      <b/>
      <i/>
      <sz val="16"/>
      <name val="Verdana"/>
      <family val="2"/>
      <charset val="204"/>
    </font>
    <font>
      <b/>
      <i/>
      <sz val="16"/>
      <color indexed="9"/>
      <name val="Verdana"/>
      <family val="2"/>
      <charset val="204"/>
    </font>
    <font>
      <b/>
      <sz val="16"/>
      <color indexed="9"/>
      <name val="Verdana"/>
      <family val="2"/>
      <charset val="204"/>
    </font>
    <font>
      <sz val="10"/>
      <color indexed="9"/>
      <name val="Arial Cyr"/>
      <charset val="204"/>
    </font>
    <font>
      <b/>
      <sz val="9"/>
      <color indexed="56"/>
      <name val="Arial Cyr"/>
      <charset val="204"/>
    </font>
    <font>
      <b/>
      <sz val="9"/>
      <color indexed="10"/>
      <name val="Arial Cyr"/>
      <charset val="204"/>
    </font>
    <font>
      <sz val="8"/>
      <color indexed="9"/>
      <name val="Arial Cyr"/>
      <charset val="204"/>
    </font>
    <font>
      <b/>
      <sz val="9.5"/>
      <color indexed="62"/>
      <name val="Arial Cyr"/>
      <family val="2"/>
      <charset val="204"/>
    </font>
    <font>
      <sz val="10"/>
      <color indexed="62"/>
      <name val="Arial Cyr"/>
      <family val="2"/>
      <charset val="204"/>
    </font>
    <font>
      <sz val="9.5"/>
      <color indexed="62"/>
      <name val="Arial Cyr"/>
      <family val="2"/>
      <charset val="204"/>
    </font>
    <font>
      <b/>
      <u/>
      <sz val="9"/>
      <name val="Arial"/>
      <family val="2"/>
      <charset val="204"/>
    </font>
    <font>
      <sz val="9"/>
      <color indexed="10"/>
      <name val="Arial Cyr"/>
      <family val="2"/>
      <charset val="204"/>
    </font>
    <font>
      <b/>
      <sz val="11"/>
      <color indexed="62"/>
      <name val="Arial Cyr"/>
      <family val="2"/>
      <charset val="204"/>
    </font>
    <font>
      <b/>
      <sz val="10"/>
      <color indexed="62"/>
      <name val="Arial"/>
      <family val="2"/>
      <charset val="204"/>
    </font>
    <font>
      <sz val="9"/>
      <color indexed="62"/>
      <name val="Arial Cyr"/>
      <family val="2"/>
      <charset val="204"/>
    </font>
    <font>
      <b/>
      <sz val="11"/>
      <color indexed="10"/>
      <name val="Arial Cyr"/>
      <family val="2"/>
      <charset val="204"/>
    </font>
    <font>
      <b/>
      <sz val="8"/>
      <color indexed="10"/>
      <name val="Arial"/>
      <family val="2"/>
      <charset val="204"/>
    </font>
    <font>
      <b/>
      <sz val="8"/>
      <color indexed="10"/>
      <name val="Arial Cyr"/>
      <charset val="204"/>
    </font>
    <font>
      <b/>
      <u/>
      <sz val="9"/>
      <color indexed="10"/>
      <name val="Arial Cyr"/>
      <charset val="204"/>
    </font>
    <font>
      <b/>
      <sz val="9"/>
      <color indexed="10"/>
      <name val="Arial Cyr"/>
      <charset val="204"/>
    </font>
    <font>
      <sz val="8"/>
      <color indexed="10"/>
      <name val="Arial Cyr"/>
      <charset val="204"/>
    </font>
    <font>
      <sz val="7"/>
      <color indexed="47"/>
      <name val="Arial"/>
      <family val="2"/>
      <charset val="204"/>
    </font>
    <font>
      <sz val="10"/>
      <color indexed="47"/>
      <name val="Arial Cyr"/>
      <charset val="204"/>
    </font>
    <font>
      <sz val="10"/>
      <color indexed="47"/>
      <name val="Arial Cyr"/>
      <family val="2"/>
      <charset val="204"/>
    </font>
    <font>
      <sz val="10"/>
      <name val="Tahoma"/>
      <family val="2"/>
      <charset val="204"/>
    </font>
    <font>
      <sz val="12"/>
      <name val="Tahoma"/>
      <family val="2"/>
      <charset val="204"/>
    </font>
    <font>
      <b/>
      <sz val="9"/>
      <color indexed="62"/>
      <name val="Arial Cyr"/>
      <charset val="204"/>
    </font>
    <font>
      <b/>
      <u/>
      <sz val="9"/>
      <color indexed="62"/>
      <name val="Arial Cyr"/>
      <charset val="204"/>
    </font>
    <font>
      <b/>
      <sz val="9"/>
      <color indexed="10"/>
      <name val="Arial Cyr"/>
      <charset val="204"/>
    </font>
    <font>
      <b/>
      <sz val="10"/>
      <color indexed="10"/>
      <name val="Arial"/>
      <family val="2"/>
    </font>
    <font>
      <b/>
      <sz val="10"/>
      <color indexed="10"/>
      <name val="Arial Cyr"/>
      <charset val="204"/>
    </font>
    <font>
      <b/>
      <sz val="11"/>
      <color indexed="10"/>
      <name val="Arial"/>
      <family val="2"/>
    </font>
    <font>
      <b/>
      <sz val="9"/>
      <color indexed="10"/>
      <name val="Arial"/>
      <family val="2"/>
    </font>
    <font>
      <b/>
      <sz val="8"/>
      <color indexed="10"/>
      <name val="Arial"/>
      <family val="2"/>
    </font>
    <font>
      <sz val="10"/>
      <color indexed="10"/>
      <name val="Arial Cyr"/>
      <charset val="204"/>
    </font>
    <font>
      <b/>
      <sz val="7"/>
      <color indexed="10"/>
      <name val="Arial Cyr"/>
      <charset val="204"/>
    </font>
    <font>
      <b/>
      <sz val="7"/>
      <color indexed="10"/>
      <name val="Arial"/>
      <family val="2"/>
    </font>
    <font>
      <b/>
      <sz val="7"/>
      <color indexed="10"/>
      <name val="Arial Cyr"/>
      <family val="2"/>
      <charset val="204"/>
    </font>
    <font>
      <b/>
      <sz val="11"/>
      <color indexed="8"/>
      <name val="Arial Cyr"/>
      <charset val="204"/>
    </font>
    <font>
      <b/>
      <sz val="9"/>
      <color indexed="8"/>
      <name val="Arial Cyr"/>
      <charset val="204"/>
    </font>
    <font>
      <sz val="8"/>
      <color indexed="10"/>
      <name val="Arial"/>
      <family val="2"/>
      <charset val="204"/>
    </font>
    <font>
      <sz val="7"/>
      <color indexed="47"/>
      <name val="Arial Cyr"/>
      <charset val="204"/>
    </font>
    <font>
      <sz val="7"/>
      <color indexed="9"/>
      <name val="Arial Cyr"/>
      <charset val="204"/>
    </font>
    <font>
      <b/>
      <sz val="7"/>
      <color indexed="9"/>
      <name val="Arial Cyr"/>
      <charset val="204"/>
    </font>
    <font>
      <sz val="10"/>
      <color indexed="10"/>
      <name val="Arial Cyr"/>
      <charset val="204"/>
    </font>
    <font>
      <b/>
      <sz val="10"/>
      <color indexed="10"/>
      <name val="Arial Cyr"/>
      <charset val="204"/>
    </font>
    <font>
      <b/>
      <sz val="10"/>
      <color indexed="55"/>
      <name val="Arial Cyr"/>
      <family val="2"/>
      <charset val="204"/>
    </font>
    <font>
      <sz val="8"/>
      <color indexed="47"/>
      <name val="Arial Cyr"/>
      <family val="2"/>
      <charset val="204"/>
    </font>
    <font>
      <b/>
      <sz val="8"/>
      <color indexed="47"/>
      <name val="Arial Cyr"/>
      <family val="2"/>
      <charset val="204"/>
    </font>
    <font>
      <b/>
      <sz val="9"/>
      <color indexed="10"/>
      <name val="Arial"/>
      <family val="2"/>
      <charset val="204"/>
    </font>
    <font>
      <b/>
      <sz val="10"/>
      <color rgb="FFFF0000"/>
      <name val="Arial"/>
      <family val="2"/>
    </font>
    <font>
      <b/>
      <sz val="8"/>
      <color rgb="FFFF0000"/>
      <name val="Arial"/>
      <family val="2"/>
    </font>
    <font>
      <sz val="10"/>
      <color rgb="FFFF0000"/>
      <name val="Arial Cyr"/>
      <charset val="204"/>
    </font>
    <font>
      <b/>
      <sz val="10"/>
      <color rgb="FFDDDDDD"/>
      <name val="Arial Cyr"/>
      <family val="2"/>
      <charset val="204"/>
    </font>
    <font>
      <b/>
      <sz val="10"/>
      <color theme="0"/>
      <name val="Arial Cyr"/>
      <family val="2"/>
      <charset val="204"/>
    </font>
    <font>
      <b/>
      <sz val="10"/>
      <color rgb="FFDDDDDD"/>
      <name val="Arial Cyr"/>
      <charset val="204"/>
    </font>
    <font>
      <b/>
      <sz val="10"/>
      <color theme="0"/>
      <name val="Arial Cyr"/>
      <charset val="204"/>
    </font>
    <font>
      <b/>
      <sz val="10"/>
      <color rgb="FFFF0000"/>
      <name val="Arial Cyr"/>
      <family val="2"/>
      <charset val="204"/>
    </font>
    <font>
      <b/>
      <sz val="9"/>
      <color theme="0"/>
      <name val="Arial Cyr"/>
      <charset val="204"/>
    </font>
    <font>
      <sz val="9"/>
      <color theme="0"/>
      <name val="Arial Cyr"/>
      <charset val="204"/>
    </font>
    <font>
      <sz val="10"/>
      <color theme="0"/>
      <name val="Arial Cyr"/>
      <charset val="204"/>
    </font>
    <font>
      <sz val="9"/>
      <color rgb="FFFF0000"/>
      <name val="Arial Cyr"/>
      <charset val="204"/>
    </font>
    <font>
      <b/>
      <sz val="10"/>
      <color theme="0" tint="-0.34998626667073579"/>
      <name val="Arial Cyr"/>
      <charset val="204"/>
    </font>
    <font>
      <sz val="10"/>
      <color theme="0" tint="-0.34998626667073579"/>
      <name val="Arial"/>
      <family val="2"/>
      <charset val="204"/>
    </font>
    <font>
      <b/>
      <sz val="10"/>
      <color theme="0" tint="-0.34998626667073579"/>
      <name val="Arial Cyr"/>
      <family val="2"/>
      <charset val="204"/>
    </font>
    <font>
      <sz val="7"/>
      <color theme="0"/>
      <name val="Arial Cyr"/>
      <charset val="204"/>
    </font>
    <font>
      <sz val="7"/>
      <color theme="0"/>
      <name val="Arial"/>
      <family val="2"/>
    </font>
    <font>
      <b/>
      <sz val="10"/>
      <color theme="0"/>
      <name val="Arial"/>
      <family val="2"/>
    </font>
    <font>
      <b/>
      <sz val="10"/>
      <color theme="0"/>
      <name val="Arial"/>
      <family val="2"/>
      <charset val="204"/>
    </font>
    <font>
      <b/>
      <sz val="9"/>
      <color theme="0"/>
      <name val="Arial"/>
      <family val="2"/>
    </font>
    <font>
      <sz val="7"/>
      <color theme="0"/>
      <name val="Arial"/>
      <family val="2"/>
      <charset val="204"/>
    </font>
    <font>
      <sz val="8"/>
      <color theme="0"/>
      <name val="Arial Cyr"/>
      <charset val="204"/>
    </font>
    <font>
      <sz val="8"/>
      <color theme="0" tint="-0.34998626667073579"/>
      <name val="Arial Cyr"/>
      <family val="2"/>
      <charset val="204"/>
    </font>
    <font>
      <sz val="10"/>
      <color theme="0" tint="-0.34998626667073579"/>
      <name val="Arial Cyr"/>
      <family val="2"/>
      <charset val="204"/>
    </font>
    <font>
      <sz val="8"/>
      <color rgb="FFDDDDDD"/>
      <name val="Arial Cyr"/>
      <family val="2"/>
      <charset val="204"/>
    </font>
    <font>
      <sz val="10"/>
      <color rgb="FFDDDDDD"/>
      <name val="Arial Cyr"/>
      <family val="2"/>
      <charset val="204"/>
    </font>
    <font>
      <sz val="8"/>
      <color theme="0"/>
      <name val="Arial Cyr"/>
      <family val="2"/>
      <charset val="204"/>
    </font>
    <font>
      <sz val="10"/>
      <color theme="0"/>
      <name val="Arial Cyr"/>
      <family val="2"/>
      <charset val="204"/>
    </font>
    <font>
      <sz val="8"/>
      <color rgb="FF000000"/>
      <name val="Tahoma"/>
      <family val="2"/>
      <charset val="204"/>
    </font>
    <font>
      <sz val="8"/>
      <color rgb="FF000000"/>
      <name val="Segoe UI"/>
      <family val="2"/>
      <charset val="204"/>
    </font>
  </fonts>
  <fills count="8">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18"/>
        <bgColor indexed="64"/>
      </patternFill>
    </fill>
    <fill>
      <patternFill patternType="solid">
        <fgColor indexed="44"/>
        <bgColor indexed="64"/>
      </patternFill>
    </fill>
    <fill>
      <patternFill patternType="solid">
        <fgColor indexed="42"/>
        <bgColor indexed="64"/>
      </patternFill>
    </fill>
  </fills>
  <borders count="514">
    <border>
      <left/>
      <right/>
      <top/>
      <bottom/>
      <diagonal/>
    </border>
    <border>
      <left style="thin">
        <color indexed="23"/>
      </left>
      <right style="thin">
        <color indexed="23"/>
      </right>
      <top style="thin">
        <color indexed="23"/>
      </top>
      <bottom style="thin">
        <color indexed="23"/>
      </bottom>
      <diagonal/>
    </border>
    <border>
      <left/>
      <right style="thin">
        <color indexed="9"/>
      </right>
      <top/>
      <bottom/>
      <diagonal/>
    </border>
    <border>
      <left style="thin">
        <color indexed="9"/>
      </left>
      <right style="thin">
        <color indexed="9"/>
      </right>
      <top/>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top/>
      <bottom style="thin">
        <color indexed="9"/>
      </bottom>
      <diagonal/>
    </border>
    <border>
      <left style="thin">
        <color indexed="9"/>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bottom/>
      <diagonal/>
    </border>
    <border>
      <left/>
      <right style="thin">
        <color indexed="64"/>
      </right>
      <top/>
      <bottom/>
      <diagonal/>
    </border>
    <border>
      <left/>
      <right style="medium">
        <color indexed="64"/>
      </right>
      <top/>
      <bottom style="thin">
        <color indexed="9"/>
      </bottom>
      <diagonal/>
    </border>
    <border>
      <left/>
      <right/>
      <top style="thin">
        <color indexed="9"/>
      </top>
      <bottom/>
      <diagonal/>
    </border>
    <border>
      <left/>
      <right style="medium">
        <color indexed="22"/>
      </right>
      <top style="medium">
        <color indexed="22"/>
      </top>
      <bottom/>
      <diagonal/>
    </border>
    <border>
      <left style="medium">
        <color indexed="22"/>
      </left>
      <right/>
      <top/>
      <bottom style="medium">
        <color indexed="22"/>
      </bottom>
      <diagonal/>
    </border>
    <border>
      <left/>
      <right/>
      <top/>
      <bottom style="medium">
        <color indexed="22"/>
      </bottom>
      <diagonal/>
    </border>
    <border>
      <left/>
      <right style="medium">
        <color indexed="22"/>
      </right>
      <top/>
      <bottom style="medium">
        <color indexed="22"/>
      </bottom>
      <diagonal/>
    </border>
    <border>
      <left style="medium">
        <color indexed="22"/>
      </left>
      <right/>
      <top style="medium">
        <color indexed="22"/>
      </top>
      <bottom/>
      <diagonal/>
    </border>
    <border>
      <left/>
      <right style="thin">
        <color indexed="9"/>
      </right>
      <top/>
      <bottom style="medium">
        <color indexed="22"/>
      </bottom>
      <diagonal/>
    </border>
    <border>
      <left/>
      <right style="thin">
        <color indexed="9"/>
      </right>
      <top style="medium">
        <color indexed="22"/>
      </top>
      <bottom style="thin">
        <color indexed="9"/>
      </bottom>
      <diagonal/>
    </border>
    <border>
      <left style="thin">
        <color indexed="9"/>
      </left>
      <right style="medium">
        <color indexed="22"/>
      </right>
      <top style="thin">
        <color indexed="9"/>
      </top>
      <bottom style="thin">
        <color indexed="9"/>
      </bottom>
      <diagonal/>
    </border>
    <border>
      <left style="thin">
        <color indexed="9"/>
      </left>
      <right style="medium">
        <color indexed="22"/>
      </right>
      <top/>
      <bottom style="thin">
        <color indexed="9"/>
      </bottom>
      <diagonal/>
    </border>
    <border>
      <left/>
      <right style="thin">
        <color indexed="9"/>
      </right>
      <top style="medium">
        <color indexed="22"/>
      </top>
      <bottom/>
      <diagonal/>
    </border>
    <border>
      <left style="thin">
        <color indexed="9"/>
      </left>
      <right style="thin">
        <color indexed="9"/>
      </right>
      <top/>
      <bottom style="medium">
        <color indexed="22"/>
      </bottom>
      <diagonal/>
    </border>
    <border>
      <left style="thin">
        <color indexed="9"/>
      </left>
      <right style="thin">
        <color indexed="9"/>
      </right>
      <top style="medium">
        <color indexed="22"/>
      </top>
      <bottom style="thin">
        <color indexed="9"/>
      </bottom>
      <diagonal/>
    </border>
    <border>
      <left style="medium">
        <color indexed="22"/>
      </left>
      <right style="thin">
        <color indexed="9"/>
      </right>
      <top/>
      <bottom style="thin">
        <color indexed="9"/>
      </bottom>
      <diagonal/>
    </border>
    <border>
      <left style="medium">
        <color indexed="22"/>
      </left>
      <right style="thin">
        <color indexed="9"/>
      </right>
      <top/>
      <bottom/>
      <diagonal/>
    </border>
    <border>
      <left style="medium">
        <color indexed="22"/>
      </left>
      <right style="thin">
        <color indexed="9"/>
      </right>
      <top/>
      <bottom style="medium">
        <color indexed="22"/>
      </bottom>
      <diagonal/>
    </border>
    <border>
      <left style="medium">
        <color indexed="22"/>
      </left>
      <right style="thin">
        <color indexed="9"/>
      </right>
      <top style="thin">
        <color indexed="9"/>
      </top>
      <bottom style="thin">
        <color indexed="9"/>
      </bottom>
      <diagonal/>
    </border>
    <border>
      <left style="medium">
        <color indexed="22"/>
      </left>
      <right style="thin">
        <color indexed="9"/>
      </right>
      <top style="medium">
        <color indexed="22"/>
      </top>
      <bottom/>
      <diagonal/>
    </border>
    <border>
      <left style="medium">
        <color indexed="22"/>
      </left>
      <right style="thin">
        <color indexed="9"/>
      </right>
      <top style="medium">
        <color indexed="22"/>
      </top>
      <bottom style="thin">
        <color indexed="9"/>
      </bottom>
      <diagonal/>
    </border>
    <border>
      <left style="thin">
        <color indexed="9"/>
      </left>
      <right style="thin">
        <color indexed="9"/>
      </right>
      <top style="thin">
        <color indexed="9"/>
      </top>
      <bottom style="medium">
        <color indexed="22"/>
      </bottom>
      <diagonal/>
    </border>
    <border>
      <left style="medium">
        <color indexed="22"/>
      </left>
      <right style="thin">
        <color indexed="9"/>
      </right>
      <top style="thin">
        <color indexed="9"/>
      </top>
      <bottom/>
      <diagonal/>
    </border>
    <border>
      <left/>
      <right style="thin">
        <color indexed="9"/>
      </right>
      <top style="thin">
        <color indexed="9"/>
      </top>
      <bottom style="medium">
        <color indexed="22"/>
      </bottom>
      <diagonal/>
    </border>
    <border>
      <left/>
      <right style="thin">
        <color indexed="9"/>
      </right>
      <top/>
      <bottom style="medium">
        <color indexed="64"/>
      </bottom>
      <diagonal/>
    </border>
    <border>
      <left/>
      <right style="thin">
        <color indexed="9"/>
      </right>
      <top style="medium">
        <color indexed="64"/>
      </top>
      <bottom style="thin">
        <color indexed="9"/>
      </bottom>
      <diagonal/>
    </border>
    <border>
      <left/>
      <right style="medium">
        <color indexed="64"/>
      </right>
      <top/>
      <bottom/>
      <diagonal/>
    </border>
    <border>
      <left/>
      <right style="medium">
        <color indexed="64"/>
      </right>
      <top style="thin">
        <color indexed="9"/>
      </top>
      <bottom style="thin">
        <color indexed="9"/>
      </bottom>
      <diagonal/>
    </border>
    <border>
      <left style="medium">
        <color indexed="64"/>
      </left>
      <right style="thin">
        <color indexed="9"/>
      </right>
      <top style="thin">
        <color indexed="9"/>
      </top>
      <bottom style="thin">
        <color indexed="9"/>
      </bottom>
      <diagonal/>
    </border>
    <border>
      <left style="medium">
        <color indexed="64"/>
      </left>
      <right style="medium">
        <color indexed="64"/>
      </right>
      <top/>
      <bottom/>
      <diagonal/>
    </border>
    <border>
      <left style="medium">
        <color indexed="64"/>
      </left>
      <right style="thin">
        <color indexed="9"/>
      </right>
      <top/>
      <bottom style="thin">
        <color indexed="9"/>
      </bottom>
      <diagonal/>
    </border>
    <border>
      <left/>
      <right/>
      <top style="medium">
        <color indexed="64"/>
      </top>
      <bottom style="medium">
        <color indexed="64"/>
      </bottom>
      <diagonal/>
    </border>
    <border>
      <left style="thin">
        <color indexed="9"/>
      </left>
      <right style="medium">
        <color indexed="22"/>
      </right>
      <top style="thin">
        <color indexed="9"/>
      </top>
      <bottom style="medium">
        <color indexed="22"/>
      </bottom>
      <diagonal/>
    </border>
    <border>
      <left style="medium">
        <color indexed="64"/>
      </left>
      <right style="thin">
        <color indexed="64"/>
      </right>
      <top style="thin">
        <color indexed="9"/>
      </top>
      <bottom style="thin">
        <color indexed="9"/>
      </bottom>
      <diagonal/>
    </border>
    <border>
      <left style="thin">
        <color indexed="9"/>
      </left>
      <right style="thin">
        <color indexed="9"/>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22"/>
      </left>
      <right/>
      <top style="thin">
        <color indexed="9"/>
      </top>
      <bottom style="thin">
        <color indexed="9"/>
      </bottom>
      <diagonal/>
    </border>
    <border>
      <left style="medium">
        <color indexed="64"/>
      </left>
      <right style="thin">
        <color indexed="9"/>
      </right>
      <top style="medium">
        <color indexed="64"/>
      </top>
      <bottom style="thin">
        <color indexed="9"/>
      </bottom>
      <diagonal/>
    </border>
    <border>
      <left style="thin">
        <color indexed="9"/>
      </left>
      <right style="thin">
        <color indexed="62"/>
      </right>
      <top/>
      <bottom style="thin">
        <color indexed="9"/>
      </bottom>
      <diagonal/>
    </border>
    <border>
      <left style="thin">
        <color indexed="62"/>
      </left>
      <right/>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bottom style="thin">
        <color indexed="9"/>
      </bottom>
      <diagonal/>
    </border>
    <border>
      <left style="medium">
        <color indexed="64"/>
      </left>
      <right/>
      <top/>
      <bottom/>
      <diagonal/>
    </border>
    <border>
      <left/>
      <right style="medium">
        <color indexed="64"/>
      </right>
      <top style="thin">
        <color indexed="64"/>
      </top>
      <bottom style="thin">
        <color indexed="9"/>
      </bottom>
      <diagonal/>
    </border>
    <border>
      <left/>
      <right style="medium">
        <color indexed="64"/>
      </right>
      <top style="thin">
        <color indexed="9"/>
      </top>
      <bottom style="medium">
        <color indexed="64"/>
      </bottom>
      <diagonal/>
    </border>
    <border>
      <left style="thin">
        <color indexed="64"/>
      </left>
      <right/>
      <top style="thin">
        <color indexed="64"/>
      </top>
      <bottom style="thin">
        <color indexed="9"/>
      </bottom>
      <diagonal/>
    </border>
    <border>
      <left/>
      <right style="medium">
        <color indexed="64"/>
      </right>
      <top style="medium">
        <color indexed="64"/>
      </top>
      <bottom style="medium">
        <color indexed="64"/>
      </bottom>
      <diagonal/>
    </border>
    <border>
      <left style="medium">
        <color indexed="64"/>
      </left>
      <right style="thin">
        <color indexed="9"/>
      </right>
      <top style="dashed">
        <color indexed="64"/>
      </top>
      <bottom style="thin">
        <color indexed="9"/>
      </bottom>
      <diagonal/>
    </border>
    <border>
      <left/>
      <right style="medium">
        <color indexed="22"/>
      </right>
      <top style="thin">
        <color indexed="9"/>
      </top>
      <bottom style="thin">
        <color indexed="9"/>
      </bottom>
      <diagonal/>
    </border>
    <border>
      <left/>
      <right style="medium">
        <color indexed="64"/>
      </right>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dashed">
        <color indexed="64"/>
      </bottom>
      <diagonal/>
    </border>
    <border>
      <left style="thin">
        <color indexed="64"/>
      </left>
      <right style="thin">
        <color indexed="9"/>
      </right>
      <top style="thin">
        <color indexed="9"/>
      </top>
      <bottom style="thin">
        <color indexed="9"/>
      </bottom>
      <diagonal/>
    </border>
    <border>
      <left style="thin">
        <color indexed="64"/>
      </left>
      <right style="thin">
        <color indexed="9"/>
      </right>
      <top style="thin">
        <color indexed="9"/>
      </top>
      <bottom style="medium">
        <color indexed="64"/>
      </bottom>
      <diagonal/>
    </border>
    <border>
      <left style="thin">
        <color indexed="64"/>
      </left>
      <right style="thin">
        <color indexed="9"/>
      </right>
      <top/>
      <bottom style="thin">
        <color indexed="9"/>
      </bottom>
      <diagonal/>
    </border>
    <border>
      <left style="thin">
        <color indexed="64"/>
      </left>
      <right style="thin">
        <color indexed="9"/>
      </right>
      <top style="thin">
        <color indexed="9"/>
      </top>
      <bottom style="dashed">
        <color indexed="64"/>
      </bottom>
      <diagonal/>
    </border>
    <border>
      <left style="medium">
        <color indexed="64"/>
      </left>
      <right style="thin">
        <color indexed="9"/>
      </right>
      <top style="thin">
        <color indexed="9"/>
      </top>
      <bottom style="medium">
        <color indexed="64"/>
      </bottom>
      <diagonal/>
    </border>
    <border>
      <left style="medium">
        <color indexed="64"/>
      </left>
      <right style="thin">
        <color indexed="9"/>
      </right>
      <top style="thin">
        <color indexed="9"/>
      </top>
      <bottom style="dashed">
        <color indexed="64"/>
      </bottom>
      <diagonal/>
    </border>
    <border>
      <left style="thin">
        <color indexed="9"/>
      </left>
      <right style="thin">
        <color indexed="9"/>
      </right>
      <top style="medium">
        <color indexed="64"/>
      </top>
      <bottom style="thin">
        <color indexed="9"/>
      </bottom>
      <diagonal/>
    </border>
    <border>
      <left style="thin">
        <color indexed="9"/>
      </left>
      <right style="thin">
        <color indexed="9"/>
      </right>
      <top style="thin">
        <color indexed="9"/>
      </top>
      <bottom style="dashed">
        <color indexed="64"/>
      </bottom>
      <diagonal/>
    </border>
    <border>
      <left style="thin">
        <color indexed="9"/>
      </left>
      <right style="thin">
        <color indexed="9"/>
      </right>
      <top style="dashed">
        <color indexed="64"/>
      </top>
      <bottom style="thin">
        <color indexed="9"/>
      </bottom>
      <diagonal/>
    </border>
    <border>
      <left style="thin">
        <color indexed="9"/>
      </left>
      <right style="medium">
        <color indexed="64"/>
      </right>
      <top style="thin">
        <color indexed="9"/>
      </top>
      <bottom style="dashed">
        <color indexed="64"/>
      </bottom>
      <diagonal/>
    </border>
    <border>
      <left style="medium">
        <color indexed="64"/>
      </left>
      <right style="thin">
        <color indexed="64"/>
      </right>
      <top style="thin">
        <color indexed="9"/>
      </top>
      <bottom style="dashed">
        <color indexed="64"/>
      </bottom>
      <diagonal/>
    </border>
    <border>
      <left/>
      <right style="medium">
        <color indexed="22"/>
      </right>
      <top style="medium">
        <color indexed="22"/>
      </top>
      <bottom style="thin">
        <color indexed="9"/>
      </bottom>
      <diagonal/>
    </border>
    <border>
      <left style="thin">
        <color indexed="9"/>
      </left>
      <right style="medium">
        <color indexed="22"/>
      </right>
      <top/>
      <bottom style="medium">
        <color indexed="22"/>
      </bottom>
      <diagonal/>
    </border>
    <border>
      <left style="thin">
        <color indexed="9"/>
      </left>
      <right style="medium">
        <color indexed="22"/>
      </right>
      <top style="thin">
        <color indexed="9"/>
      </top>
      <bottom/>
      <diagonal/>
    </border>
    <border>
      <left style="medium">
        <color indexed="22"/>
      </left>
      <right/>
      <top/>
      <bottom style="thin">
        <color indexed="9"/>
      </bottom>
      <diagonal/>
    </border>
    <border>
      <left/>
      <right/>
      <top/>
      <bottom style="thin">
        <color indexed="64"/>
      </bottom>
      <diagonal/>
    </border>
    <border>
      <left/>
      <right style="medium">
        <color indexed="9"/>
      </right>
      <top/>
      <bottom style="thin">
        <color indexed="64"/>
      </bottom>
      <diagonal/>
    </border>
    <border>
      <left/>
      <right style="medium">
        <color indexed="9"/>
      </right>
      <top style="thin">
        <color indexed="9"/>
      </top>
      <bottom style="thin">
        <color indexed="9"/>
      </bottom>
      <diagonal/>
    </border>
    <border>
      <left style="thin">
        <color indexed="9"/>
      </left>
      <right style="medium">
        <color indexed="9"/>
      </right>
      <top style="thin">
        <color indexed="9"/>
      </top>
      <bottom style="thin">
        <color indexed="9"/>
      </bottom>
      <diagonal/>
    </border>
    <border>
      <left style="thin">
        <color indexed="9"/>
      </left>
      <right style="medium">
        <color indexed="9"/>
      </right>
      <top/>
      <bottom style="thin">
        <color indexed="9"/>
      </bottom>
      <diagonal/>
    </border>
    <border>
      <left/>
      <right style="medium">
        <color indexed="64"/>
      </right>
      <top/>
      <bottom style="dashed">
        <color indexed="64"/>
      </bottom>
      <diagonal/>
    </border>
    <border>
      <left/>
      <right/>
      <top style="thin">
        <color indexed="64"/>
      </top>
      <bottom style="thin">
        <color indexed="64"/>
      </bottom>
      <diagonal/>
    </border>
    <border>
      <left/>
      <right/>
      <top/>
      <bottom style="medium">
        <color indexed="64"/>
      </bottom>
      <diagonal/>
    </border>
    <border>
      <left style="medium">
        <color indexed="9"/>
      </left>
      <right/>
      <top style="medium">
        <color indexed="9"/>
      </top>
      <bottom style="medium">
        <color indexed="8"/>
      </bottom>
      <diagonal/>
    </border>
    <border>
      <left/>
      <right style="medium">
        <color indexed="9"/>
      </right>
      <top style="medium">
        <color indexed="9"/>
      </top>
      <bottom style="medium">
        <color indexed="8"/>
      </bottom>
      <diagonal/>
    </border>
    <border>
      <left/>
      <right/>
      <top/>
      <bottom style="medium">
        <color indexed="8"/>
      </bottom>
      <diagonal/>
    </border>
    <border>
      <left style="thin">
        <color indexed="9"/>
      </left>
      <right/>
      <top/>
      <bottom style="medium">
        <color indexed="8"/>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47"/>
      </right>
      <top/>
      <bottom/>
      <diagonal/>
    </border>
    <border>
      <left style="thin">
        <color indexed="47"/>
      </left>
      <right style="medium">
        <color indexed="9"/>
      </right>
      <top/>
      <bottom/>
      <diagonal/>
    </border>
    <border>
      <left style="medium">
        <color indexed="64"/>
      </left>
      <right style="medium">
        <color indexed="9"/>
      </right>
      <top/>
      <bottom/>
      <diagonal/>
    </border>
    <border>
      <left style="medium">
        <color indexed="64"/>
      </left>
      <right style="thin">
        <color indexed="9"/>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medium">
        <color indexed="9"/>
      </right>
      <top style="thin">
        <color indexed="64"/>
      </top>
      <bottom style="thin">
        <color indexed="64"/>
      </bottom>
      <diagonal/>
    </border>
    <border>
      <left style="medium">
        <color indexed="9"/>
      </left>
      <right style="thin">
        <color indexed="9"/>
      </right>
      <top style="thin">
        <color indexed="64"/>
      </top>
      <bottom style="thin">
        <color indexed="64"/>
      </bottom>
      <diagonal/>
    </border>
    <border>
      <left style="thin">
        <color indexed="47"/>
      </left>
      <right style="medium">
        <color indexed="64"/>
      </right>
      <top style="thin">
        <color indexed="64"/>
      </top>
      <bottom style="thin">
        <color indexed="64"/>
      </bottom>
      <diagonal/>
    </border>
    <border>
      <left style="medium">
        <color indexed="9"/>
      </left>
      <right style="thin">
        <color indexed="47"/>
      </right>
      <top style="thin">
        <color indexed="64"/>
      </top>
      <bottom style="thin">
        <color indexed="64"/>
      </bottom>
      <diagonal/>
    </border>
    <border>
      <left style="thin">
        <color indexed="47"/>
      </left>
      <right style="medium">
        <color indexed="9"/>
      </right>
      <top style="thin">
        <color indexed="64"/>
      </top>
      <bottom style="thin">
        <color indexed="64"/>
      </bottom>
      <diagonal/>
    </border>
    <border>
      <left/>
      <right style="thin">
        <color indexed="9"/>
      </right>
      <top/>
      <bottom style="thin">
        <color indexed="64"/>
      </bottom>
      <diagonal/>
    </border>
    <border>
      <left/>
      <right style="medium">
        <color indexed="64"/>
      </right>
      <top/>
      <bottom style="thin">
        <color indexed="64"/>
      </bottom>
      <diagonal/>
    </border>
    <border>
      <left style="medium">
        <color indexed="64"/>
      </left>
      <right style="thin">
        <color indexed="9"/>
      </right>
      <top/>
      <bottom style="thin">
        <color indexed="64"/>
      </bottom>
      <diagonal/>
    </border>
    <border>
      <left style="thin">
        <color indexed="9"/>
      </left>
      <right style="thin">
        <color indexed="9"/>
      </right>
      <top/>
      <bottom style="thin">
        <color indexed="64"/>
      </bottom>
      <diagonal/>
    </border>
    <border>
      <left/>
      <right style="medium">
        <color indexed="64"/>
      </right>
      <top style="thin">
        <color indexed="64"/>
      </top>
      <bottom style="thin">
        <color indexed="64"/>
      </bottom>
      <diagonal/>
    </border>
    <border>
      <left/>
      <right style="thin">
        <color indexed="47"/>
      </right>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9"/>
      </top>
      <bottom style="thin">
        <color indexed="64"/>
      </bottom>
      <diagonal/>
    </border>
    <border>
      <left style="medium">
        <color indexed="64"/>
      </left>
      <right/>
      <top/>
      <bottom style="thin">
        <color indexed="64"/>
      </bottom>
      <diagonal/>
    </border>
    <border>
      <left style="medium">
        <color indexed="64"/>
      </left>
      <right style="thin">
        <color indexed="9"/>
      </right>
      <top style="thin">
        <color indexed="9"/>
      </top>
      <bottom style="thin">
        <color indexed="64"/>
      </bottom>
      <diagonal/>
    </border>
    <border>
      <left style="thin">
        <color indexed="9"/>
      </left>
      <right style="medium">
        <color indexed="64"/>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64"/>
      </left>
      <right style="thin">
        <color indexed="9"/>
      </right>
      <top style="thin">
        <color indexed="9"/>
      </top>
      <bottom/>
      <diagonal/>
    </border>
    <border>
      <left/>
      <right style="medium">
        <color indexed="64"/>
      </right>
      <top style="thin">
        <color indexed="9"/>
      </top>
      <bottom style="thin">
        <color indexed="64"/>
      </bottom>
      <diagonal/>
    </border>
    <border>
      <left/>
      <right style="thin">
        <color indexed="9"/>
      </right>
      <top style="thin">
        <color indexed="9"/>
      </top>
      <bottom style="thin">
        <color indexed="64"/>
      </bottom>
      <diagonal/>
    </border>
    <border>
      <left style="medium">
        <color indexed="64"/>
      </left>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left style="thin">
        <color indexed="9"/>
      </left>
      <right style="thin">
        <color indexed="62"/>
      </right>
      <top/>
      <bottom/>
      <diagonal/>
    </border>
    <border>
      <left style="thin">
        <color indexed="62"/>
      </left>
      <right style="thin">
        <color indexed="62"/>
      </right>
      <top/>
      <bottom/>
      <diagonal/>
    </border>
    <border>
      <left style="thin">
        <color indexed="62"/>
      </left>
      <right style="thin">
        <color indexed="9"/>
      </right>
      <top/>
      <bottom/>
      <diagonal/>
    </border>
    <border>
      <left/>
      <right style="thin">
        <color indexed="62"/>
      </right>
      <top/>
      <bottom/>
      <diagonal/>
    </border>
    <border>
      <left style="thin">
        <color indexed="62"/>
      </left>
      <right/>
      <top/>
      <bottom/>
      <diagonal/>
    </border>
    <border>
      <left/>
      <right/>
      <top style="medium">
        <color indexed="64"/>
      </top>
      <bottom style="thin">
        <color indexed="64"/>
      </bottom>
      <diagonal/>
    </border>
    <border>
      <left/>
      <right style="medium">
        <color indexed="9"/>
      </right>
      <top style="thin">
        <color indexed="9"/>
      </top>
      <bottom/>
      <diagonal/>
    </border>
    <border>
      <left style="medium">
        <color indexed="64"/>
      </left>
      <right/>
      <top/>
      <bottom style="dotted">
        <color indexed="64"/>
      </bottom>
      <diagonal/>
    </border>
    <border>
      <left/>
      <right/>
      <top/>
      <bottom style="dotted">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right style="medium">
        <color indexed="22"/>
      </right>
      <top/>
      <bottom/>
      <diagonal/>
    </border>
    <border>
      <left/>
      <right style="medium">
        <color indexed="9"/>
      </right>
      <top/>
      <bottom/>
      <diagonal/>
    </border>
    <border>
      <left/>
      <right style="medium">
        <color indexed="62"/>
      </right>
      <top style="medium">
        <color indexed="64"/>
      </top>
      <bottom/>
      <diagonal/>
    </border>
    <border>
      <left style="medium">
        <color indexed="9"/>
      </left>
      <right style="medium">
        <color indexed="64"/>
      </right>
      <top style="thin">
        <color indexed="64"/>
      </top>
      <bottom style="thin">
        <color indexed="64"/>
      </bottom>
      <diagonal/>
    </border>
    <border>
      <left/>
      <right style="thin">
        <color indexed="64"/>
      </right>
      <top style="thin">
        <color indexed="9"/>
      </top>
      <bottom style="thin">
        <color indexed="9"/>
      </bottom>
      <diagonal/>
    </border>
    <border>
      <left style="thin">
        <color indexed="64"/>
      </left>
      <right/>
      <top/>
      <bottom/>
      <diagonal/>
    </border>
    <border>
      <left style="thin">
        <color indexed="64"/>
      </left>
      <right style="thin">
        <color indexed="64"/>
      </right>
      <top/>
      <bottom/>
      <diagonal/>
    </border>
    <border>
      <left/>
      <right/>
      <top/>
      <bottom style="thin">
        <color indexed="22"/>
      </bottom>
      <diagonal/>
    </border>
    <border>
      <left/>
      <right style="thin">
        <color indexed="9"/>
      </right>
      <top/>
      <bottom style="thin">
        <color indexed="22"/>
      </bottom>
      <diagonal/>
    </border>
    <border>
      <left style="thin">
        <color indexed="9"/>
      </left>
      <right style="thin">
        <color indexed="9"/>
      </right>
      <top/>
      <bottom style="thin">
        <color indexed="22"/>
      </bottom>
      <diagonal/>
    </border>
    <border>
      <left/>
      <right style="thin">
        <color indexed="64"/>
      </right>
      <top/>
      <bottom style="thin">
        <color indexed="22"/>
      </bottom>
      <diagonal/>
    </border>
    <border>
      <left style="thin">
        <color indexed="64"/>
      </left>
      <right/>
      <top/>
      <bottom style="thin">
        <color indexed="22"/>
      </bottom>
      <diagonal/>
    </border>
    <border>
      <left style="thin">
        <color indexed="9"/>
      </left>
      <right style="medium">
        <color indexed="22"/>
      </right>
      <top/>
      <bottom style="medium">
        <color indexed="23"/>
      </bottom>
      <diagonal/>
    </border>
    <border>
      <left/>
      <right style="thin">
        <color indexed="9"/>
      </right>
      <top style="thin">
        <color indexed="64"/>
      </top>
      <bottom/>
      <diagonal/>
    </border>
    <border>
      <left/>
      <right/>
      <top style="thin">
        <color indexed="64"/>
      </top>
      <bottom/>
      <diagonal/>
    </border>
    <border>
      <left style="thin">
        <color indexed="9"/>
      </left>
      <right/>
      <top style="thin">
        <color indexed="64"/>
      </top>
      <bottom style="thin">
        <color indexed="64"/>
      </bottom>
      <diagonal/>
    </border>
    <border>
      <left style="medium">
        <color indexed="9"/>
      </left>
      <right style="thin">
        <color indexed="9"/>
      </right>
      <top/>
      <bottom style="thin">
        <color indexed="64"/>
      </bottom>
      <diagonal/>
    </border>
    <border>
      <left style="thin">
        <color indexed="9"/>
      </left>
      <right style="medium">
        <color indexed="64"/>
      </right>
      <top/>
      <bottom style="thin">
        <color indexed="9"/>
      </bottom>
      <diagonal/>
    </border>
    <border>
      <left style="thin">
        <color indexed="9"/>
      </left>
      <right style="thin">
        <color indexed="9"/>
      </right>
      <top style="thin">
        <color indexed="64"/>
      </top>
      <bottom style="thin">
        <color indexed="9"/>
      </bottom>
      <diagonal/>
    </border>
    <border>
      <left/>
      <right style="medium">
        <color indexed="64"/>
      </right>
      <top style="medium">
        <color indexed="64"/>
      </top>
      <bottom style="thin">
        <color indexed="64"/>
      </bottom>
      <diagonal/>
    </border>
    <border>
      <left style="thin">
        <color indexed="9"/>
      </left>
      <right style="thin">
        <color indexed="9"/>
      </right>
      <top style="medium">
        <color indexed="64"/>
      </top>
      <bottom style="thin">
        <color indexed="64"/>
      </bottom>
      <diagonal/>
    </border>
    <border>
      <left style="medium">
        <color indexed="64"/>
      </left>
      <right/>
      <top/>
      <bottom style="medium">
        <color indexed="64"/>
      </bottom>
      <diagonal/>
    </border>
    <border>
      <left style="thin">
        <color indexed="47"/>
      </left>
      <right style="medium">
        <color indexed="64"/>
      </right>
      <top style="medium">
        <color indexed="64"/>
      </top>
      <bottom style="thin">
        <color indexed="64"/>
      </bottom>
      <diagonal/>
    </border>
    <border>
      <left style="medium">
        <color indexed="9"/>
      </left>
      <right style="thin">
        <color indexed="47"/>
      </right>
      <top style="medium">
        <color indexed="64"/>
      </top>
      <bottom style="thin">
        <color indexed="64"/>
      </bottom>
      <diagonal/>
    </border>
    <border>
      <left style="thin">
        <color indexed="9"/>
      </left>
      <right/>
      <top style="thin">
        <color indexed="9"/>
      </top>
      <bottom/>
      <diagonal/>
    </border>
    <border>
      <left/>
      <right/>
      <top style="thin">
        <color indexed="9"/>
      </top>
      <bottom style="medium">
        <color indexed="64"/>
      </bottom>
      <diagonal/>
    </border>
    <border>
      <left style="thin">
        <color indexed="62"/>
      </left>
      <right style="thin">
        <color indexed="9"/>
      </right>
      <top/>
      <bottom style="thin">
        <color indexed="9"/>
      </bottom>
      <diagonal/>
    </border>
    <border>
      <left/>
      <right style="medium">
        <color indexed="9"/>
      </right>
      <top/>
      <bottom style="thin">
        <color indexed="9"/>
      </bottom>
      <diagonal/>
    </border>
    <border>
      <left/>
      <right/>
      <top style="medium">
        <color indexed="9"/>
      </top>
      <bottom style="medium">
        <color indexed="8"/>
      </bottom>
      <diagonal/>
    </border>
    <border>
      <left/>
      <right style="medium">
        <color indexed="64"/>
      </right>
      <top style="thin">
        <color indexed="64"/>
      </top>
      <bottom style="medium">
        <color indexed="64"/>
      </bottom>
      <diagonal/>
    </border>
    <border>
      <left style="thin">
        <color indexed="9"/>
      </left>
      <right style="medium">
        <color indexed="64"/>
      </right>
      <top style="thin">
        <color indexed="64"/>
      </top>
      <bottom style="thin">
        <color indexed="64"/>
      </bottom>
      <diagonal/>
    </border>
    <border>
      <left style="thin">
        <color indexed="9"/>
      </left>
      <right style="medium">
        <color indexed="64"/>
      </right>
      <top style="thin">
        <color indexed="9"/>
      </top>
      <bottom style="medium">
        <color indexed="64"/>
      </bottom>
      <diagonal/>
    </border>
    <border>
      <left/>
      <right style="medium">
        <color indexed="64"/>
      </right>
      <top style="thin">
        <color indexed="9"/>
      </top>
      <bottom/>
      <diagonal/>
    </border>
    <border>
      <left style="medium">
        <color indexed="64"/>
      </left>
      <right style="medium">
        <color indexed="64"/>
      </right>
      <top style="thin">
        <color indexed="9"/>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9"/>
      </bottom>
      <diagonal/>
    </border>
    <border>
      <left style="thin">
        <color indexed="64"/>
      </left>
      <right style="thin">
        <color indexed="64"/>
      </right>
      <top style="thin">
        <color indexed="64"/>
      </top>
      <bottom style="medium">
        <color indexed="64"/>
      </bottom>
      <diagonal/>
    </border>
    <border>
      <left style="medium">
        <color indexed="64"/>
      </left>
      <right style="thin">
        <color indexed="9"/>
      </right>
      <top/>
      <bottom style="dashed">
        <color indexed="64"/>
      </bottom>
      <diagonal/>
    </border>
    <border>
      <left style="medium">
        <color indexed="9"/>
      </left>
      <right style="medium">
        <color indexed="9"/>
      </right>
      <top/>
      <bottom/>
      <diagonal/>
    </border>
    <border>
      <left style="medium">
        <color indexed="9"/>
      </left>
      <right/>
      <top/>
      <bottom/>
      <diagonal/>
    </border>
    <border>
      <left/>
      <right/>
      <top/>
      <bottom style="medium">
        <color indexed="23"/>
      </bottom>
      <diagonal/>
    </border>
    <border>
      <left style="medium">
        <color indexed="22"/>
      </left>
      <right style="medium">
        <color indexed="22"/>
      </right>
      <top/>
      <bottom style="medium">
        <color indexed="23"/>
      </bottom>
      <diagonal/>
    </border>
    <border>
      <left style="medium">
        <color indexed="22"/>
      </left>
      <right style="medium">
        <color indexed="22"/>
      </right>
      <top/>
      <bottom/>
      <diagonal/>
    </border>
    <border>
      <left style="medium">
        <color indexed="22"/>
      </left>
      <right/>
      <top/>
      <bottom/>
      <diagonal/>
    </border>
    <border>
      <left style="medium">
        <color indexed="22"/>
      </left>
      <right style="thin">
        <color indexed="9"/>
      </right>
      <top/>
      <bottom style="medium">
        <color indexed="23"/>
      </bottom>
      <diagonal/>
    </border>
    <border>
      <left/>
      <right style="medium">
        <color indexed="9"/>
      </right>
      <top style="medium">
        <color indexed="23"/>
      </top>
      <bottom/>
      <diagonal/>
    </border>
    <border>
      <left style="thin">
        <color indexed="9"/>
      </left>
      <right style="medium">
        <color indexed="22"/>
      </right>
      <top/>
      <bottom/>
      <diagonal/>
    </border>
    <border>
      <left style="thin">
        <color indexed="9"/>
      </left>
      <right style="medium">
        <color indexed="64"/>
      </right>
      <top style="thin">
        <color indexed="64"/>
      </top>
      <bottom style="dashed">
        <color indexed="64"/>
      </bottom>
      <diagonal/>
    </border>
    <border>
      <left style="medium">
        <color indexed="22"/>
      </left>
      <right/>
      <top/>
      <bottom style="medium">
        <color indexed="23"/>
      </bottom>
      <diagonal/>
    </border>
    <border>
      <left style="medium">
        <color indexed="22"/>
      </left>
      <right style="medium">
        <color indexed="22"/>
      </right>
      <top/>
      <bottom style="thin">
        <color indexed="22"/>
      </bottom>
      <diagonal/>
    </border>
    <border>
      <left style="medium">
        <color indexed="64"/>
      </left>
      <right style="medium">
        <color indexed="64"/>
      </right>
      <top style="thin">
        <color indexed="64"/>
      </top>
      <bottom style="thin">
        <color indexed="9"/>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dotted">
        <color indexed="64"/>
      </bottom>
      <diagonal/>
    </border>
    <border>
      <left style="medium">
        <color indexed="9"/>
      </left>
      <right/>
      <top/>
      <bottom style="thin">
        <color indexed="64"/>
      </bottom>
      <diagonal/>
    </border>
    <border>
      <left style="medium">
        <color indexed="9"/>
      </left>
      <right style="medium">
        <color indexed="9"/>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23"/>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23"/>
      </top>
      <bottom style="thin">
        <color indexed="64"/>
      </bottom>
      <diagonal/>
    </border>
    <border>
      <left style="medium">
        <color indexed="64"/>
      </left>
      <right style="medium">
        <color indexed="64"/>
      </right>
      <top style="thin">
        <color indexed="23"/>
      </top>
      <bottom/>
      <diagonal/>
    </border>
    <border>
      <left style="medium">
        <color indexed="64"/>
      </left>
      <right style="medium">
        <color indexed="64"/>
      </right>
      <top style="thin">
        <color indexed="23"/>
      </top>
      <bottom style="thin">
        <color indexed="23"/>
      </bottom>
      <diagonal/>
    </border>
    <border>
      <left/>
      <right style="medium">
        <color indexed="64"/>
      </right>
      <top style="thin">
        <color indexed="64"/>
      </top>
      <bottom style="thin">
        <color indexed="23"/>
      </bottom>
      <diagonal/>
    </border>
    <border>
      <left/>
      <right style="medium">
        <color indexed="64"/>
      </right>
      <top style="thin">
        <color indexed="23"/>
      </top>
      <bottom style="thin">
        <color indexed="23"/>
      </bottom>
      <diagonal/>
    </border>
    <border>
      <left/>
      <right style="medium">
        <color indexed="64"/>
      </right>
      <top style="thin">
        <color indexed="23"/>
      </top>
      <bottom/>
      <diagonal/>
    </border>
    <border>
      <left/>
      <right style="medium">
        <color indexed="64"/>
      </right>
      <top/>
      <bottom style="thin">
        <color indexed="23"/>
      </bottom>
      <diagonal/>
    </border>
    <border>
      <left/>
      <right style="medium">
        <color indexed="64"/>
      </right>
      <top style="thin">
        <color indexed="23"/>
      </top>
      <bottom style="thin">
        <color indexed="64"/>
      </bottom>
      <diagonal/>
    </border>
    <border>
      <left style="medium">
        <color indexed="64"/>
      </left>
      <right style="thin">
        <color indexed="23"/>
      </right>
      <top style="thin">
        <color indexed="64"/>
      </top>
      <bottom/>
      <diagonal/>
    </border>
    <border>
      <left style="medium">
        <color indexed="64"/>
      </left>
      <right style="thin">
        <color indexed="23"/>
      </right>
      <top style="thin">
        <color indexed="23"/>
      </top>
      <bottom style="thin">
        <color indexed="23"/>
      </bottom>
      <diagonal/>
    </border>
    <border>
      <left style="medium">
        <color indexed="64"/>
      </left>
      <right style="thin">
        <color indexed="23"/>
      </right>
      <top style="thin">
        <color indexed="23"/>
      </top>
      <bottom style="thin">
        <color indexed="64"/>
      </bottom>
      <diagonal/>
    </border>
    <border>
      <left style="thin">
        <color indexed="23"/>
      </left>
      <right style="medium">
        <color indexed="64"/>
      </right>
      <top style="thin">
        <color indexed="64"/>
      </top>
      <bottom style="thin">
        <color indexed="23"/>
      </bottom>
      <diagonal/>
    </border>
    <border>
      <left style="medium">
        <color indexed="64"/>
      </left>
      <right style="medium">
        <color indexed="64"/>
      </right>
      <top style="thin">
        <color indexed="23"/>
      </top>
      <bottom style="dashed">
        <color indexed="64"/>
      </bottom>
      <diagonal/>
    </border>
    <border>
      <left style="medium">
        <color indexed="64"/>
      </left>
      <right style="thin">
        <color indexed="23"/>
      </right>
      <top style="thin">
        <color indexed="22"/>
      </top>
      <bottom/>
      <diagonal/>
    </border>
    <border>
      <left style="medium">
        <color indexed="64"/>
      </left>
      <right style="thin">
        <color indexed="23"/>
      </right>
      <top style="thin">
        <color indexed="22"/>
      </top>
      <bottom style="thin">
        <color indexed="22"/>
      </bottom>
      <diagonal/>
    </border>
    <border>
      <left style="medium">
        <color indexed="64"/>
      </left>
      <right style="thin">
        <color indexed="23"/>
      </right>
      <top/>
      <bottom style="thin">
        <color indexed="64"/>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style="medium">
        <color indexed="64"/>
      </left>
      <right style="thin">
        <color indexed="23"/>
      </right>
      <top style="thin">
        <color indexed="23"/>
      </top>
      <bottom/>
      <diagonal/>
    </border>
    <border>
      <left style="medium">
        <color indexed="64"/>
      </left>
      <right style="thin">
        <color indexed="23"/>
      </right>
      <top style="thin">
        <color indexed="23"/>
      </top>
      <bottom style="thin">
        <color indexed="22"/>
      </bottom>
      <diagonal/>
    </border>
    <border>
      <left style="medium">
        <color indexed="64"/>
      </left>
      <right style="thin">
        <color indexed="23"/>
      </right>
      <top style="thin">
        <color indexed="64"/>
      </top>
      <bottom style="thin">
        <color indexed="23"/>
      </bottom>
      <diagonal/>
    </border>
    <border>
      <left style="medium">
        <color indexed="64"/>
      </left>
      <right/>
      <top style="thin">
        <color indexed="64"/>
      </top>
      <bottom style="dashed">
        <color indexed="64"/>
      </bottom>
      <diagonal/>
    </border>
    <border>
      <left style="thin">
        <color indexed="23"/>
      </left>
      <right style="medium">
        <color indexed="64"/>
      </right>
      <top style="thin">
        <color indexed="64"/>
      </top>
      <bottom style="dashed">
        <color indexed="64"/>
      </bottom>
      <diagonal/>
    </border>
    <border>
      <left style="medium">
        <color indexed="64"/>
      </left>
      <right style="thin">
        <color indexed="23"/>
      </right>
      <top style="thin">
        <color indexed="64"/>
      </top>
      <bottom style="dashed">
        <color indexed="64"/>
      </bottom>
      <diagonal/>
    </border>
    <border>
      <left style="medium">
        <color indexed="22"/>
      </left>
      <right style="medium">
        <color indexed="64"/>
      </right>
      <top/>
      <bottom/>
      <diagonal/>
    </border>
    <border>
      <left style="medium">
        <color indexed="64"/>
      </left>
      <right style="thin">
        <color indexed="23"/>
      </right>
      <top/>
      <bottom style="thin">
        <color indexed="22"/>
      </bottom>
      <diagonal/>
    </border>
    <border>
      <left style="medium">
        <color indexed="64"/>
      </left>
      <right style="thin">
        <color indexed="23"/>
      </right>
      <top style="thin">
        <color indexed="22"/>
      </top>
      <bottom style="thin">
        <color indexed="64"/>
      </bottom>
      <diagonal/>
    </border>
    <border>
      <left style="medium">
        <color indexed="64"/>
      </left>
      <right style="medium">
        <color indexed="64"/>
      </right>
      <top style="medium">
        <color indexed="64"/>
      </top>
      <bottom style="thin">
        <color indexed="23"/>
      </bottom>
      <diagonal/>
    </border>
    <border>
      <left/>
      <right style="medium">
        <color indexed="23"/>
      </right>
      <top/>
      <bottom/>
      <diagonal/>
    </border>
    <border>
      <left/>
      <right style="thin">
        <color indexed="9"/>
      </right>
      <top/>
      <bottom style="medium">
        <color indexed="23"/>
      </bottom>
      <diagonal/>
    </border>
    <border>
      <left/>
      <right style="thin">
        <color indexed="62"/>
      </right>
      <top/>
      <bottom style="medium">
        <color indexed="23"/>
      </bottom>
      <diagonal/>
    </border>
    <border>
      <left style="thin">
        <color indexed="62"/>
      </left>
      <right style="thin">
        <color indexed="62"/>
      </right>
      <top/>
      <bottom style="medium">
        <color indexed="23"/>
      </bottom>
      <diagonal/>
    </border>
    <border>
      <left style="thin">
        <color indexed="62"/>
      </left>
      <right style="thin">
        <color indexed="9"/>
      </right>
      <top/>
      <bottom style="medium">
        <color indexed="23"/>
      </bottom>
      <diagonal/>
    </border>
    <border>
      <left style="thin">
        <color indexed="9"/>
      </left>
      <right style="thin">
        <color indexed="9"/>
      </right>
      <top/>
      <bottom style="medium">
        <color indexed="23"/>
      </bottom>
      <diagonal/>
    </border>
    <border>
      <left/>
      <right style="medium">
        <color indexed="23"/>
      </right>
      <top style="medium">
        <color indexed="23"/>
      </top>
      <bottom/>
      <diagonal/>
    </border>
    <border>
      <left/>
      <right style="medium">
        <color indexed="23"/>
      </right>
      <top/>
      <bottom style="medium">
        <color indexed="8"/>
      </bottom>
      <diagonal/>
    </border>
    <border>
      <left/>
      <right style="medium">
        <color indexed="23"/>
      </right>
      <top/>
      <bottom style="medium">
        <color indexed="64"/>
      </bottom>
      <diagonal/>
    </border>
    <border>
      <left style="medium">
        <color indexed="23"/>
      </left>
      <right style="thin">
        <color indexed="9"/>
      </right>
      <top/>
      <bottom style="medium">
        <color indexed="23"/>
      </bottom>
      <diagonal/>
    </border>
    <border>
      <left style="medium">
        <color indexed="9"/>
      </left>
      <right/>
      <top style="medium">
        <color indexed="9"/>
      </top>
      <bottom style="medium">
        <color indexed="23"/>
      </bottom>
      <diagonal/>
    </border>
    <border>
      <left/>
      <right/>
      <top style="medium">
        <color indexed="9"/>
      </top>
      <bottom style="medium">
        <color indexed="23"/>
      </bottom>
      <diagonal/>
    </border>
    <border>
      <left/>
      <right style="medium">
        <color indexed="9"/>
      </right>
      <top style="medium">
        <color indexed="9"/>
      </top>
      <bottom style="medium">
        <color indexed="23"/>
      </bottom>
      <diagonal/>
    </border>
    <border>
      <left/>
      <right style="medium">
        <color indexed="23"/>
      </right>
      <top/>
      <bottom style="medium">
        <color indexed="23"/>
      </bottom>
      <diagonal/>
    </border>
    <border>
      <left style="thin">
        <color indexed="9"/>
      </left>
      <right/>
      <top/>
      <bottom style="medium">
        <color indexed="23"/>
      </bottom>
      <diagonal/>
    </border>
    <border>
      <left style="medium">
        <color indexed="23"/>
      </left>
      <right/>
      <top/>
      <bottom/>
      <diagonal/>
    </border>
    <border>
      <left style="medium">
        <color indexed="23"/>
      </left>
      <right/>
      <top/>
      <bottom style="thin">
        <color indexed="18"/>
      </bottom>
      <diagonal/>
    </border>
    <border>
      <left/>
      <right/>
      <top/>
      <bottom style="thin">
        <color indexed="18"/>
      </bottom>
      <diagonal/>
    </border>
    <border>
      <left/>
      <right style="medium">
        <color indexed="23"/>
      </right>
      <top/>
      <bottom style="thin">
        <color indexed="18"/>
      </bottom>
      <diagonal/>
    </border>
    <border>
      <left/>
      <right/>
      <top style="thin">
        <color indexed="18"/>
      </top>
      <bottom style="thin">
        <color indexed="18"/>
      </bottom>
      <diagonal/>
    </border>
    <border>
      <left/>
      <right style="medium">
        <color indexed="23"/>
      </right>
      <top style="thin">
        <color indexed="18"/>
      </top>
      <bottom style="thin">
        <color indexed="18"/>
      </bottom>
      <diagonal/>
    </border>
    <border>
      <left style="thin">
        <color indexed="9"/>
      </left>
      <right style="thin">
        <color indexed="9"/>
      </right>
      <top style="thin">
        <color indexed="18"/>
      </top>
      <bottom style="thin">
        <color indexed="9"/>
      </bottom>
      <diagonal/>
    </border>
    <border>
      <left style="thin">
        <color indexed="9"/>
      </left>
      <right style="thin">
        <color indexed="9"/>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thin">
        <color indexed="18"/>
      </bottom>
      <diagonal/>
    </border>
    <border>
      <left/>
      <right style="medium">
        <color indexed="23"/>
      </right>
      <top style="thin">
        <color indexed="18"/>
      </top>
      <bottom/>
      <diagonal/>
    </border>
    <border>
      <left/>
      <right/>
      <top style="medium">
        <color indexed="23"/>
      </top>
      <bottom style="thin">
        <color indexed="18"/>
      </bottom>
      <diagonal/>
    </border>
    <border>
      <left/>
      <right style="medium">
        <color indexed="23"/>
      </right>
      <top/>
      <bottom style="thin">
        <color indexed="64"/>
      </bottom>
      <diagonal/>
    </border>
    <border>
      <left/>
      <right style="medium">
        <color indexed="23"/>
      </right>
      <top style="thin">
        <color indexed="64"/>
      </top>
      <bottom style="thin">
        <color indexed="64"/>
      </bottom>
      <diagonal/>
    </border>
    <border>
      <left/>
      <right style="thin">
        <color indexed="9"/>
      </right>
      <top style="thin">
        <color indexed="64"/>
      </top>
      <bottom style="medium">
        <color indexed="23"/>
      </bottom>
      <diagonal/>
    </border>
    <border>
      <left/>
      <right/>
      <top style="thin">
        <color indexed="64"/>
      </top>
      <bottom style="medium">
        <color indexed="23"/>
      </bottom>
      <diagonal/>
    </border>
    <border>
      <left/>
      <right style="medium">
        <color indexed="23"/>
      </right>
      <top style="thin">
        <color indexed="64"/>
      </top>
      <bottom style="medium">
        <color indexed="23"/>
      </bottom>
      <diagonal/>
    </border>
    <border>
      <left style="thin">
        <color indexed="9"/>
      </left>
      <right style="medium">
        <color indexed="23"/>
      </right>
      <top/>
      <bottom/>
      <diagonal/>
    </border>
    <border>
      <left style="medium">
        <color indexed="9"/>
      </left>
      <right style="medium">
        <color indexed="9"/>
      </right>
      <top/>
      <bottom style="medium">
        <color indexed="23"/>
      </bottom>
      <diagonal/>
    </border>
    <border>
      <left style="medium">
        <color indexed="9"/>
      </left>
      <right/>
      <top/>
      <bottom style="medium">
        <color indexed="23"/>
      </bottom>
      <diagonal/>
    </border>
    <border>
      <left style="medium">
        <color indexed="9"/>
      </left>
      <right style="medium">
        <color indexed="9"/>
      </right>
      <top style="medium">
        <color indexed="23"/>
      </top>
      <bottom style="thin">
        <color indexed="18"/>
      </bottom>
      <diagonal/>
    </border>
    <border>
      <left style="medium">
        <color indexed="9"/>
      </left>
      <right/>
      <top style="medium">
        <color indexed="23"/>
      </top>
      <bottom style="thin">
        <color indexed="18"/>
      </bottom>
      <diagonal/>
    </border>
    <border>
      <left style="medium">
        <color indexed="23"/>
      </left>
      <right/>
      <top style="medium">
        <color indexed="23"/>
      </top>
      <bottom style="thin">
        <color indexed="18"/>
      </bottom>
      <diagonal/>
    </border>
    <border>
      <left style="medium">
        <color indexed="9"/>
      </left>
      <right style="medium">
        <color indexed="9"/>
      </right>
      <top/>
      <bottom style="thin">
        <color indexed="18"/>
      </bottom>
      <diagonal/>
    </border>
    <border>
      <left/>
      <right style="medium">
        <color indexed="9"/>
      </right>
      <top/>
      <bottom style="medium">
        <color indexed="23"/>
      </bottom>
      <diagonal/>
    </border>
    <border>
      <left/>
      <right style="medium">
        <color indexed="22"/>
      </right>
      <top/>
      <bottom style="medium">
        <color indexed="23"/>
      </bottom>
      <diagonal/>
    </border>
    <border>
      <left style="medium">
        <color indexed="22"/>
      </left>
      <right style="medium">
        <color indexed="22"/>
      </right>
      <top style="thin">
        <color indexed="18"/>
      </top>
      <bottom/>
      <diagonal/>
    </border>
    <border>
      <left style="medium">
        <color indexed="23"/>
      </left>
      <right/>
      <top/>
      <bottom style="medium">
        <color indexed="23"/>
      </bottom>
      <diagonal/>
    </border>
    <border>
      <left style="thin">
        <color indexed="9"/>
      </left>
      <right/>
      <top style="thin">
        <color indexed="9"/>
      </top>
      <bottom style="medium">
        <color indexed="23"/>
      </bottom>
      <diagonal/>
    </border>
    <border>
      <left/>
      <right/>
      <top style="thin">
        <color indexed="9"/>
      </top>
      <bottom style="medium">
        <color indexed="23"/>
      </bottom>
      <diagonal/>
    </border>
    <border>
      <left/>
      <right/>
      <top style="medium">
        <color indexed="23"/>
      </top>
      <bottom/>
      <diagonal/>
    </border>
    <border>
      <left/>
      <right/>
      <top/>
      <bottom style="thin">
        <color indexed="23"/>
      </bottom>
      <diagonal/>
    </border>
    <border>
      <left/>
      <right style="medium">
        <color indexed="9"/>
      </right>
      <top style="medium">
        <color indexed="23"/>
      </top>
      <bottom style="thin">
        <color indexed="18"/>
      </bottom>
      <diagonal/>
    </border>
    <border>
      <left style="medium">
        <color indexed="9"/>
      </left>
      <right style="medium">
        <color indexed="64"/>
      </right>
      <top/>
      <bottom style="medium">
        <color indexed="23"/>
      </bottom>
      <diagonal/>
    </border>
    <border>
      <left style="medium">
        <color indexed="64"/>
      </left>
      <right/>
      <top/>
      <bottom style="medium">
        <color indexed="23"/>
      </bottom>
      <diagonal/>
    </border>
    <border>
      <left style="medium">
        <color indexed="23"/>
      </left>
      <right/>
      <top style="thin">
        <color indexed="18"/>
      </top>
      <bottom style="thin">
        <color indexed="18"/>
      </bottom>
      <diagonal/>
    </border>
    <border>
      <left/>
      <right style="medium">
        <color indexed="64"/>
      </right>
      <top style="medium">
        <color indexed="23"/>
      </top>
      <bottom style="thin">
        <color indexed="18"/>
      </bottom>
      <diagonal/>
    </border>
    <border>
      <left style="medium">
        <color indexed="9"/>
      </left>
      <right/>
      <top/>
      <bottom style="thin">
        <color indexed="18"/>
      </bottom>
      <diagonal/>
    </border>
    <border>
      <left style="thin">
        <color indexed="9"/>
      </left>
      <right style="medium">
        <color indexed="23"/>
      </right>
      <top style="thin">
        <color indexed="9"/>
      </top>
      <bottom/>
      <diagonal/>
    </border>
    <border>
      <left/>
      <right style="medium">
        <color indexed="23"/>
      </right>
      <top style="thin">
        <color indexed="64"/>
      </top>
      <bottom/>
      <diagonal/>
    </border>
    <border>
      <left style="medium">
        <color indexed="23"/>
      </left>
      <right/>
      <top style="thin">
        <color indexed="64"/>
      </top>
      <bottom style="medium">
        <color indexed="23"/>
      </bottom>
      <diagonal/>
    </border>
    <border>
      <left style="medium">
        <color indexed="23"/>
      </left>
      <right style="medium">
        <color indexed="23"/>
      </right>
      <top/>
      <bottom/>
      <diagonal/>
    </border>
    <border>
      <left style="medium">
        <color indexed="22"/>
      </left>
      <right style="medium">
        <color indexed="23"/>
      </right>
      <top/>
      <bottom/>
      <diagonal/>
    </border>
    <border>
      <left style="medium">
        <color indexed="9"/>
      </left>
      <right style="medium">
        <color indexed="23"/>
      </right>
      <top/>
      <bottom/>
      <diagonal/>
    </border>
    <border>
      <left/>
      <right style="medium">
        <color indexed="23"/>
      </right>
      <top/>
      <bottom style="thin">
        <color indexed="22"/>
      </bottom>
      <diagonal/>
    </border>
    <border>
      <left/>
      <right style="medium">
        <color indexed="22"/>
      </right>
      <top/>
      <bottom style="thin">
        <color indexed="22"/>
      </bottom>
      <diagonal/>
    </border>
    <border>
      <left style="medium">
        <color indexed="23"/>
      </left>
      <right style="medium">
        <color indexed="23"/>
      </right>
      <top/>
      <bottom style="medium">
        <color indexed="23"/>
      </bottom>
      <diagonal/>
    </border>
    <border>
      <left/>
      <right/>
      <top style="thin">
        <color indexed="23"/>
      </top>
      <bottom/>
      <diagonal/>
    </border>
    <border>
      <left style="medium">
        <color indexed="23"/>
      </left>
      <right style="medium">
        <color indexed="9"/>
      </right>
      <top style="medium">
        <color indexed="23"/>
      </top>
      <bottom style="thin">
        <color indexed="18"/>
      </bottom>
      <diagonal/>
    </border>
    <border>
      <left style="thin">
        <color indexed="9"/>
      </left>
      <right/>
      <top/>
      <bottom style="thin">
        <color indexed="18"/>
      </bottom>
      <diagonal/>
    </border>
    <border>
      <left style="thin">
        <color indexed="9"/>
      </left>
      <right style="thin">
        <color indexed="9"/>
      </right>
      <top/>
      <bottom style="thin">
        <color indexed="18"/>
      </bottom>
      <diagonal/>
    </border>
    <border>
      <left/>
      <right/>
      <top/>
      <bottom style="thin">
        <color indexed="47"/>
      </bottom>
      <diagonal/>
    </border>
    <border>
      <left/>
      <right style="medium">
        <color indexed="23"/>
      </right>
      <top style="thin">
        <color indexed="47"/>
      </top>
      <bottom style="thin">
        <color indexed="64"/>
      </bottom>
      <diagonal/>
    </border>
    <border>
      <left style="medium">
        <color indexed="23"/>
      </left>
      <right/>
      <top/>
      <bottom style="thin">
        <color indexed="47"/>
      </bottom>
      <diagonal/>
    </border>
    <border>
      <left/>
      <right style="medium">
        <color indexed="23"/>
      </right>
      <top/>
      <bottom style="thin">
        <color indexed="47"/>
      </bottom>
      <diagonal/>
    </border>
    <border>
      <left/>
      <right style="thin">
        <color indexed="9"/>
      </right>
      <top/>
      <bottom style="thin">
        <color indexed="47"/>
      </bottom>
      <diagonal/>
    </border>
    <border>
      <left/>
      <right style="medium">
        <color indexed="9"/>
      </right>
      <top/>
      <bottom style="thin">
        <color indexed="18"/>
      </bottom>
      <diagonal/>
    </border>
    <border>
      <left/>
      <right/>
      <top style="thin">
        <color indexed="18"/>
      </top>
      <bottom/>
      <diagonal/>
    </border>
    <border>
      <left style="thin">
        <color indexed="9"/>
      </left>
      <right/>
      <top style="medium">
        <color indexed="23"/>
      </top>
      <bottom/>
      <diagonal/>
    </border>
    <border>
      <left style="medium">
        <color indexed="23"/>
      </left>
      <right/>
      <top style="medium">
        <color indexed="23"/>
      </top>
      <bottom/>
      <diagonal/>
    </border>
    <border>
      <left style="medium">
        <color indexed="64"/>
      </left>
      <right/>
      <top style="dotted">
        <color indexed="64"/>
      </top>
      <bottom style="thin">
        <color indexed="47"/>
      </bottom>
      <diagonal/>
    </border>
    <border>
      <left/>
      <right style="medium">
        <color indexed="64"/>
      </right>
      <top style="dotted">
        <color indexed="64"/>
      </top>
      <bottom style="thin">
        <color indexed="47"/>
      </bottom>
      <diagonal/>
    </border>
    <border>
      <left style="medium">
        <color indexed="64"/>
      </left>
      <right style="thin">
        <color indexed="23"/>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23"/>
      </right>
      <top/>
      <bottom style="medium">
        <color indexed="64"/>
      </bottom>
      <diagonal/>
    </border>
    <border>
      <left style="medium">
        <color indexed="64"/>
      </left>
      <right style="medium">
        <color indexed="64"/>
      </right>
      <top/>
      <bottom style="thin">
        <color indexed="23"/>
      </bottom>
      <diagonal/>
    </border>
    <border>
      <left/>
      <right/>
      <top style="thin">
        <color indexed="64"/>
      </top>
      <bottom style="medium">
        <color indexed="64"/>
      </bottom>
      <diagonal/>
    </border>
    <border>
      <left style="medium">
        <color indexed="23"/>
      </left>
      <right style="medium">
        <color indexed="23"/>
      </right>
      <top/>
      <bottom style="medium">
        <color indexed="55"/>
      </bottom>
      <diagonal/>
    </border>
    <border>
      <left style="thin">
        <color indexed="9"/>
      </left>
      <right/>
      <top/>
      <bottom style="medium">
        <color indexed="55"/>
      </bottom>
      <diagonal/>
    </border>
    <border>
      <left style="thin">
        <color indexed="9"/>
      </left>
      <right style="thin">
        <color indexed="9"/>
      </right>
      <top/>
      <bottom style="medium">
        <color indexed="55"/>
      </bottom>
      <diagonal/>
    </border>
    <border>
      <left/>
      <right/>
      <top/>
      <bottom style="medium">
        <color indexed="55"/>
      </bottom>
      <diagonal/>
    </border>
    <border>
      <left style="medium">
        <color indexed="23"/>
      </left>
      <right style="thick">
        <color indexed="47"/>
      </right>
      <top/>
      <bottom/>
      <diagonal/>
    </border>
    <border>
      <left style="medium">
        <color indexed="23"/>
      </left>
      <right style="thick">
        <color indexed="47"/>
      </right>
      <top style="thin">
        <color indexed="18"/>
      </top>
      <bottom/>
      <diagonal/>
    </border>
    <border>
      <left style="medium">
        <color indexed="23"/>
      </left>
      <right style="medium">
        <color indexed="23"/>
      </right>
      <top style="medium">
        <color indexed="23"/>
      </top>
      <bottom/>
      <diagonal/>
    </border>
    <border>
      <left/>
      <right style="thin">
        <color indexed="64"/>
      </right>
      <top/>
      <bottom style="medium">
        <color indexed="23"/>
      </bottom>
      <diagonal/>
    </border>
    <border>
      <left style="thin">
        <color indexed="64"/>
      </left>
      <right/>
      <top/>
      <bottom style="medium">
        <color indexed="23"/>
      </bottom>
      <diagonal/>
    </border>
    <border>
      <left style="thick">
        <color indexed="47"/>
      </left>
      <right style="thick">
        <color indexed="47"/>
      </right>
      <top/>
      <bottom/>
      <diagonal/>
    </border>
    <border>
      <left style="thick">
        <color indexed="47"/>
      </left>
      <right style="thick">
        <color indexed="47"/>
      </right>
      <top style="thin">
        <color indexed="18"/>
      </top>
      <bottom/>
      <diagonal/>
    </border>
    <border>
      <left style="medium">
        <color indexed="23"/>
      </left>
      <right style="thick">
        <color indexed="47"/>
      </right>
      <top/>
      <bottom style="medium">
        <color indexed="23"/>
      </bottom>
      <diagonal/>
    </border>
    <border>
      <left style="thick">
        <color indexed="47"/>
      </left>
      <right style="thick">
        <color indexed="47"/>
      </right>
      <top/>
      <bottom style="medium">
        <color indexed="23"/>
      </bottom>
      <diagonal/>
    </border>
    <border>
      <left style="medium">
        <color indexed="9"/>
      </left>
      <right style="medium">
        <color indexed="23"/>
      </right>
      <top/>
      <bottom style="medium">
        <color indexed="23"/>
      </bottom>
      <diagonal/>
    </border>
    <border>
      <left style="medium">
        <color indexed="23"/>
      </left>
      <right style="medium">
        <color indexed="23"/>
      </right>
      <top style="thin">
        <color indexed="18"/>
      </top>
      <bottom/>
      <diagonal/>
    </border>
    <border>
      <left/>
      <right style="thin">
        <color indexed="64"/>
      </right>
      <top style="thin">
        <color indexed="18"/>
      </top>
      <bottom/>
      <diagonal/>
    </border>
    <border>
      <left style="medium">
        <color indexed="22"/>
      </left>
      <right/>
      <top style="thin">
        <color indexed="18"/>
      </top>
      <bottom/>
      <diagonal/>
    </border>
    <border>
      <left style="medium">
        <color indexed="9"/>
      </left>
      <right/>
      <top/>
      <bottom style="thin">
        <color indexed="47"/>
      </bottom>
      <diagonal/>
    </border>
    <border>
      <left style="medium">
        <color indexed="23"/>
      </left>
      <right style="thick">
        <color indexed="47"/>
      </right>
      <top style="thick">
        <color indexed="47"/>
      </top>
      <bottom/>
      <diagonal/>
    </border>
    <border>
      <left style="medium">
        <color indexed="23"/>
      </left>
      <right style="thick">
        <color indexed="47"/>
      </right>
      <top/>
      <bottom style="medium">
        <color indexed="55"/>
      </bottom>
      <diagonal/>
    </border>
    <border>
      <left style="thick">
        <color indexed="47"/>
      </left>
      <right style="thick">
        <color indexed="47"/>
      </right>
      <top/>
      <bottom style="medium">
        <color indexed="55"/>
      </bottom>
      <diagonal/>
    </border>
    <border>
      <left/>
      <right style="thick">
        <color indexed="47"/>
      </right>
      <top/>
      <bottom style="medium">
        <color indexed="23"/>
      </bottom>
      <diagonal/>
    </border>
    <border>
      <left style="medium">
        <color indexed="23"/>
      </left>
      <right style="thick">
        <color indexed="47"/>
      </right>
      <top/>
      <bottom style="thin">
        <color indexed="22"/>
      </bottom>
      <diagonal/>
    </border>
    <border>
      <left style="thick">
        <color indexed="47"/>
      </left>
      <right style="thick">
        <color indexed="47"/>
      </right>
      <top/>
      <bottom style="thin">
        <color indexed="22"/>
      </bottom>
      <diagonal/>
    </border>
    <border>
      <left/>
      <right style="thick">
        <color indexed="47"/>
      </right>
      <top style="thin">
        <color indexed="18"/>
      </top>
      <bottom/>
      <diagonal/>
    </border>
    <border>
      <left/>
      <right style="thick">
        <color indexed="47"/>
      </right>
      <top/>
      <bottom/>
      <diagonal/>
    </border>
    <border>
      <left/>
      <right style="thick">
        <color indexed="47"/>
      </right>
      <top/>
      <bottom style="thin">
        <color indexed="18"/>
      </bottom>
      <diagonal/>
    </border>
    <border>
      <left/>
      <right style="thin">
        <color indexed="64"/>
      </right>
      <top/>
      <bottom style="thin">
        <color indexed="18"/>
      </bottom>
      <diagonal/>
    </border>
    <border>
      <left style="thick">
        <color indexed="47"/>
      </left>
      <right style="thick">
        <color indexed="47"/>
      </right>
      <top/>
      <bottom style="thin">
        <color indexed="18"/>
      </bottom>
      <diagonal/>
    </border>
    <border>
      <left style="medium">
        <color indexed="9"/>
      </left>
      <right style="thick">
        <color indexed="47"/>
      </right>
      <top/>
      <bottom/>
      <diagonal/>
    </border>
    <border>
      <left style="medium">
        <color indexed="47"/>
      </left>
      <right style="thick">
        <color indexed="47"/>
      </right>
      <top/>
      <bottom/>
      <diagonal/>
    </border>
    <border>
      <left style="thick">
        <color indexed="47"/>
      </left>
      <right/>
      <top/>
      <bottom/>
      <diagonal/>
    </border>
    <border>
      <left/>
      <right style="thick">
        <color indexed="23"/>
      </right>
      <top/>
      <bottom/>
      <diagonal/>
    </border>
    <border>
      <left/>
      <right style="thick">
        <color indexed="23"/>
      </right>
      <top style="thick">
        <color indexed="23"/>
      </top>
      <bottom style="thin">
        <color indexed="64"/>
      </bottom>
      <diagonal/>
    </border>
    <border>
      <left/>
      <right style="thick">
        <color indexed="23"/>
      </right>
      <top/>
      <bottom style="thick">
        <color indexed="23"/>
      </bottom>
      <diagonal/>
    </border>
    <border>
      <left/>
      <right style="thick">
        <color indexed="23"/>
      </right>
      <top style="thin">
        <color indexed="23"/>
      </top>
      <bottom style="thin">
        <color indexed="23"/>
      </bottom>
      <diagonal/>
    </border>
    <border>
      <left style="thick">
        <color indexed="23"/>
      </left>
      <right/>
      <top style="thick">
        <color indexed="23"/>
      </top>
      <bottom style="thin">
        <color indexed="23"/>
      </bottom>
      <diagonal/>
    </border>
    <border>
      <left/>
      <right style="thin">
        <color indexed="9"/>
      </right>
      <top style="thick">
        <color indexed="23"/>
      </top>
      <bottom style="thin">
        <color indexed="23"/>
      </bottom>
      <diagonal/>
    </border>
    <border>
      <left style="thin">
        <color indexed="9"/>
      </left>
      <right style="thin">
        <color indexed="9"/>
      </right>
      <top style="thick">
        <color indexed="23"/>
      </top>
      <bottom style="thin">
        <color indexed="23"/>
      </bottom>
      <diagonal/>
    </border>
    <border>
      <left style="thin">
        <color indexed="9"/>
      </left>
      <right/>
      <top style="thick">
        <color indexed="23"/>
      </top>
      <bottom style="thin">
        <color indexed="23"/>
      </bottom>
      <diagonal/>
    </border>
    <border>
      <left/>
      <right/>
      <top style="thick">
        <color indexed="23"/>
      </top>
      <bottom style="thin">
        <color indexed="23"/>
      </bottom>
      <diagonal/>
    </border>
    <border>
      <left/>
      <right style="thick">
        <color indexed="23"/>
      </right>
      <top style="thick">
        <color indexed="23"/>
      </top>
      <bottom style="thin">
        <color indexed="23"/>
      </bottom>
      <diagonal/>
    </border>
    <border>
      <left/>
      <right style="thin">
        <color indexed="23"/>
      </right>
      <top style="thin">
        <color indexed="23"/>
      </top>
      <bottom style="thin">
        <color indexed="23"/>
      </bottom>
      <diagonal/>
    </border>
    <border>
      <left/>
      <right style="thin">
        <color indexed="23"/>
      </right>
      <top/>
      <bottom style="thin">
        <color indexed="23"/>
      </bottom>
      <diagonal/>
    </border>
    <border>
      <left/>
      <right style="thin">
        <color indexed="23"/>
      </right>
      <top/>
      <bottom style="thick">
        <color indexed="23"/>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64"/>
      </top>
      <bottom style="thin">
        <color indexed="23"/>
      </bottom>
      <diagonal/>
    </border>
    <border>
      <left style="thin">
        <color indexed="23"/>
      </left>
      <right/>
      <top/>
      <bottom style="medium">
        <color indexed="64"/>
      </bottom>
      <diagonal/>
    </border>
    <border>
      <left/>
      <right style="thick">
        <color indexed="23"/>
      </right>
      <top/>
      <bottom style="thin">
        <color indexed="64"/>
      </bottom>
      <diagonal/>
    </border>
    <border>
      <left style="thin">
        <color indexed="23"/>
      </left>
      <right style="thin">
        <color indexed="23"/>
      </right>
      <top style="thick">
        <color indexed="23"/>
      </top>
      <bottom style="thin">
        <color indexed="23"/>
      </bottom>
      <diagonal/>
    </border>
    <border>
      <left style="thin">
        <color indexed="23"/>
      </left>
      <right style="thin">
        <color indexed="23"/>
      </right>
      <top style="thin">
        <color indexed="23"/>
      </top>
      <bottom style="thick">
        <color indexed="23"/>
      </bottom>
      <diagonal/>
    </border>
    <border>
      <left/>
      <right/>
      <top style="thick">
        <color indexed="23"/>
      </top>
      <bottom style="thick">
        <color indexed="23"/>
      </bottom>
      <diagonal/>
    </border>
    <border>
      <left/>
      <right/>
      <top style="medium">
        <color indexed="64"/>
      </top>
      <bottom style="thick">
        <color indexed="23"/>
      </bottom>
      <diagonal/>
    </border>
    <border>
      <left/>
      <right style="thick">
        <color indexed="23"/>
      </right>
      <top style="medium">
        <color indexed="64"/>
      </top>
      <bottom style="thick">
        <color indexed="23"/>
      </bottom>
      <diagonal/>
    </border>
    <border>
      <left style="thick">
        <color indexed="23"/>
      </left>
      <right/>
      <top style="thick">
        <color indexed="23"/>
      </top>
      <bottom style="thin">
        <color indexed="64"/>
      </bottom>
      <diagonal/>
    </border>
    <border>
      <left/>
      <right/>
      <top/>
      <bottom style="thick">
        <color indexed="23"/>
      </bottom>
      <diagonal/>
    </border>
    <border>
      <left/>
      <right style="thick">
        <color indexed="23"/>
      </right>
      <top/>
      <bottom style="thin">
        <color indexed="18"/>
      </bottom>
      <diagonal/>
    </border>
    <border>
      <left/>
      <right style="thin">
        <color indexed="22"/>
      </right>
      <top/>
      <bottom/>
      <diagonal/>
    </border>
    <border>
      <left style="thin">
        <color indexed="22"/>
      </left>
      <right style="thick">
        <color indexed="47"/>
      </right>
      <top/>
      <bottom/>
      <diagonal/>
    </border>
    <border>
      <left style="thin">
        <color indexed="9"/>
      </left>
      <right/>
      <top style="thin">
        <color indexed="9"/>
      </top>
      <bottom style="thick">
        <color indexed="23"/>
      </bottom>
      <diagonal/>
    </border>
    <border>
      <left/>
      <right/>
      <top style="thin">
        <color indexed="9"/>
      </top>
      <bottom style="thick">
        <color indexed="23"/>
      </bottom>
      <diagonal/>
    </border>
    <border>
      <left/>
      <right style="thin">
        <color indexed="9"/>
      </right>
      <top style="thin">
        <color indexed="9"/>
      </top>
      <bottom style="thick">
        <color indexed="23"/>
      </bottom>
      <diagonal/>
    </border>
    <border>
      <left style="thick">
        <color indexed="23"/>
      </left>
      <right/>
      <top/>
      <bottom style="thick">
        <color indexed="23"/>
      </bottom>
      <diagonal/>
    </border>
    <border>
      <left/>
      <right style="thick">
        <color indexed="47"/>
      </right>
      <top/>
      <bottom style="thick">
        <color indexed="23"/>
      </bottom>
      <diagonal/>
    </border>
    <border>
      <left style="thick">
        <color indexed="47"/>
      </left>
      <right style="thick">
        <color indexed="47"/>
      </right>
      <top style="thin">
        <color indexed="47"/>
      </top>
      <bottom style="thick">
        <color indexed="23"/>
      </bottom>
      <diagonal/>
    </border>
    <border>
      <left style="thin">
        <color indexed="9"/>
      </left>
      <right/>
      <top style="thin">
        <color indexed="18"/>
      </top>
      <bottom/>
      <diagonal/>
    </border>
    <border>
      <left style="thin">
        <color indexed="9"/>
      </left>
      <right style="thick">
        <color indexed="23"/>
      </right>
      <top style="thin">
        <color indexed="18"/>
      </top>
      <bottom/>
      <diagonal/>
    </border>
    <border>
      <left style="thick">
        <color indexed="23"/>
      </left>
      <right/>
      <top style="thin">
        <color indexed="23"/>
      </top>
      <bottom/>
      <diagonal/>
    </border>
    <border>
      <left/>
      <right/>
      <top style="thin">
        <color indexed="23"/>
      </top>
      <bottom style="thin">
        <color indexed="23"/>
      </bottom>
      <diagonal/>
    </border>
    <border>
      <left/>
      <right style="thick">
        <color indexed="47"/>
      </right>
      <top style="thin">
        <color indexed="23"/>
      </top>
      <bottom style="thin">
        <color indexed="23"/>
      </bottom>
      <diagonal/>
    </border>
    <border>
      <left style="thick">
        <color indexed="47"/>
      </left>
      <right style="thick">
        <color indexed="47"/>
      </right>
      <top style="thin">
        <color indexed="23"/>
      </top>
      <bottom style="thin">
        <color indexed="23"/>
      </bottom>
      <diagonal/>
    </border>
    <border>
      <left/>
      <right style="thick">
        <color indexed="47"/>
      </right>
      <top/>
      <bottom style="thin">
        <color indexed="23"/>
      </bottom>
      <diagonal/>
    </border>
    <border>
      <left/>
      <right style="thick">
        <color indexed="23"/>
      </right>
      <top/>
      <bottom style="thin">
        <color indexed="9"/>
      </bottom>
      <diagonal/>
    </border>
    <border>
      <left style="thick">
        <color indexed="47"/>
      </left>
      <right style="thick">
        <color indexed="47"/>
      </right>
      <top/>
      <bottom style="thick">
        <color indexed="23"/>
      </bottom>
      <diagonal/>
    </border>
    <border>
      <left/>
      <right style="thin">
        <color indexed="9"/>
      </right>
      <top/>
      <bottom style="thick">
        <color indexed="23"/>
      </bottom>
      <diagonal/>
    </border>
    <border>
      <left style="thin">
        <color indexed="9"/>
      </left>
      <right/>
      <top/>
      <bottom style="thick">
        <color indexed="23"/>
      </bottom>
      <diagonal/>
    </border>
    <border>
      <left/>
      <right style="thick">
        <color indexed="23"/>
      </right>
      <top style="thick">
        <color indexed="23"/>
      </top>
      <bottom style="thin">
        <color indexed="18"/>
      </bottom>
      <diagonal/>
    </border>
    <border>
      <left style="thick">
        <color indexed="23"/>
      </left>
      <right/>
      <top style="thin">
        <color indexed="18"/>
      </top>
      <bottom style="thick">
        <color indexed="23"/>
      </bottom>
      <diagonal/>
    </border>
    <border>
      <left/>
      <right/>
      <top style="thin">
        <color indexed="18"/>
      </top>
      <bottom style="thick">
        <color indexed="23"/>
      </bottom>
      <diagonal/>
    </border>
    <border>
      <left style="thick">
        <color indexed="47"/>
      </left>
      <right style="thick">
        <color indexed="47"/>
      </right>
      <top style="thin">
        <color indexed="18"/>
      </top>
      <bottom style="thick">
        <color indexed="23"/>
      </bottom>
      <diagonal/>
    </border>
    <border>
      <left/>
      <right style="thick">
        <color indexed="23"/>
      </right>
      <top style="thin">
        <color indexed="18"/>
      </top>
      <bottom style="thick">
        <color indexed="23"/>
      </bottom>
      <diagonal/>
    </border>
    <border>
      <left style="thin">
        <color indexed="9"/>
      </left>
      <right style="thick">
        <color indexed="23"/>
      </right>
      <top/>
      <bottom/>
      <diagonal/>
    </border>
    <border>
      <left style="thin">
        <color indexed="9"/>
      </left>
      <right style="thick">
        <color indexed="23"/>
      </right>
      <top/>
      <bottom style="thin">
        <color indexed="18"/>
      </bottom>
      <diagonal/>
    </border>
    <border>
      <left style="thick">
        <color indexed="23"/>
      </left>
      <right/>
      <top style="thin">
        <color indexed="64"/>
      </top>
      <bottom style="thick">
        <color indexed="23"/>
      </bottom>
      <diagonal/>
    </border>
    <border>
      <left style="thick">
        <color indexed="23"/>
      </left>
      <right style="medium">
        <color indexed="23"/>
      </right>
      <top/>
      <bottom style="thick">
        <color indexed="23"/>
      </bottom>
      <diagonal/>
    </border>
    <border>
      <left style="medium">
        <color indexed="23"/>
      </left>
      <right style="thick">
        <color indexed="47"/>
      </right>
      <top/>
      <bottom style="thick">
        <color indexed="23"/>
      </bottom>
      <diagonal/>
    </border>
    <border>
      <left/>
      <right style="medium">
        <color indexed="23"/>
      </right>
      <top/>
      <bottom style="thick">
        <color indexed="23"/>
      </bottom>
      <diagonal/>
    </border>
    <border>
      <left style="thick">
        <color indexed="47"/>
      </left>
      <right style="thick">
        <color indexed="23"/>
      </right>
      <top/>
      <bottom/>
      <diagonal/>
    </border>
    <border>
      <left style="thick">
        <color indexed="47"/>
      </left>
      <right style="thick">
        <color indexed="23"/>
      </right>
      <top/>
      <bottom style="thick">
        <color indexed="23"/>
      </bottom>
      <diagonal/>
    </border>
    <border>
      <left style="thick">
        <color indexed="23"/>
      </left>
      <right/>
      <top/>
      <bottom/>
      <diagonal/>
    </border>
    <border>
      <left style="thin">
        <color indexed="9"/>
      </left>
      <right style="thick">
        <color indexed="23"/>
      </right>
      <top style="thin">
        <color indexed="64"/>
      </top>
      <bottom style="thin">
        <color indexed="23"/>
      </bottom>
      <diagonal/>
    </border>
    <border>
      <left style="thin">
        <color indexed="9"/>
      </left>
      <right style="thick">
        <color indexed="23"/>
      </right>
      <top style="thin">
        <color indexed="23"/>
      </top>
      <bottom style="thin">
        <color indexed="23"/>
      </bottom>
      <diagonal/>
    </border>
    <border>
      <left style="thin">
        <color indexed="9"/>
      </left>
      <right style="thick">
        <color indexed="23"/>
      </right>
      <top style="thin">
        <color indexed="23"/>
      </top>
      <bottom/>
      <diagonal/>
    </border>
    <border>
      <left style="thin">
        <color indexed="9"/>
      </left>
      <right style="thick">
        <color indexed="23"/>
      </right>
      <top style="thin">
        <color indexed="23"/>
      </top>
      <bottom style="medium">
        <color indexed="64"/>
      </bottom>
      <diagonal/>
    </border>
    <border>
      <left/>
      <right style="thin">
        <color indexed="64"/>
      </right>
      <top/>
      <bottom style="thick">
        <color indexed="23"/>
      </bottom>
      <diagonal/>
    </border>
    <border>
      <left style="thin">
        <color indexed="64"/>
      </left>
      <right style="thick">
        <color indexed="47"/>
      </right>
      <top/>
      <bottom style="thick">
        <color indexed="23"/>
      </bottom>
      <diagonal/>
    </border>
    <border>
      <left style="thin">
        <color indexed="9"/>
      </left>
      <right style="thick">
        <color indexed="47"/>
      </right>
      <top/>
      <bottom style="medium">
        <color indexed="23"/>
      </bottom>
      <diagonal/>
    </border>
    <border>
      <left style="thin">
        <color indexed="9"/>
      </left>
      <right style="thick">
        <color indexed="47"/>
      </right>
      <top/>
      <bottom/>
      <diagonal/>
    </border>
    <border>
      <left style="thin">
        <color indexed="47"/>
      </left>
      <right style="thick">
        <color indexed="47"/>
      </right>
      <top style="medium">
        <color indexed="23"/>
      </top>
      <bottom/>
      <diagonal/>
    </border>
    <border>
      <left style="thin">
        <color indexed="47"/>
      </left>
      <right style="thick">
        <color indexed="47"/>
      </right>
      <top/>
      <bottom/>
      <diagonal/>
    </border>
    <border>
      <left style="medium">
        <color indexed="64"/>
      </left>
      <right style="medium">
        <color indexed="22"/>
      </right>
      <top/>
      <bottom/>
      <diagonal/>
    </border>
    <border>
      <left style="medium">
        <color indexed="22"/>
      </left>
      <right style="thick">
        <color indexed="47"/>
      </right>
      <top/>
      <bottom/>
      <diagonal/>
    </border>
    <border>
      <left style="medium">
        <color indexed="23"/>
      </left>
      <right style="medium">
        <color indexed="23"/>
      </right>
      <top/>
      <bottom style="thick">
        <color indexed="23"/>
      </bottom>
      <diagonal/>
    </border>
    <border>
      <left style="medium">
        <color indexed="64"/>
      </left>
      <right/>
      <top/>
      <bottom style="thick">
        <color indexed="23"/>
      </bottom>
      <diagonal/>
    </border>
    <border>
      <left style="medium">
        <color indexed="22"/>
      </left>
      <right style="thick">
        <color indexed="47"/>
      </right>
      <top/>
      <bottom style="thick">
        <color indexed="23"/>
      </bottom>
      <diagonal/>
    </border>
    <border>
      <left/>
      <right/>
      <top style="thick">
        <color indexed="23"/>
      </top>
      <bottom/>
      <diagonal/>
    </border>
    <border>
      <left style="medium">
        <color indexed="23"/>
      </left>
      <right/>
      <top style="thin">
        <color indexed="9"/>
      </top>
      <bottom style="thin">
        <color indexed="9"/>
      </bottom>
      <diagonal/>
    </border>
    <border>
      <left style="thick">
        <color indexed="47"/>
      </left>
      <right style="thick">
        <color indexed="23"/>
      </right>
      <top style="thin">
        <color indexed="18"/>
      </top>
      <bottom/>
      <diagonal/>
    </border>
    <border>
      <left style="medium">
        <color indexed="47"/>
      </left>
      <right style="thick">
        <color indexed="47"/>
      </right>
      <top/>
      <bottom style="thin">
        <color indexed="23"/>
      </bottom>
      <diagonal/>
    </border>
    <border>
      <left style="thick">
        <color indexed="47"/>
      </left>
      <right style="thick">
        <color indexed="47"/>
      </right>
      <top/>
      <bottom style="thin">
        <color indexed="23"/>
      </bottom>
      <diagonal/>
    </border>
    <border>
      <left style="thick">
        <color indexed="23"/>
      </left>
      <right/>
      <top/>
      <bottom style="thin">
        <color indexed="23"/>
      </bottom>
      <diagonal/>
    </border>
    <border>
      <left style="thick">
        <color indexed="47"/>
      </left>
      <right style="thick">
        <color indexed="47"/>
      </right>
      <top/>
      <bottom style="thin">
        <color indexed="47"/>
      </bottom>
      <diagonal/>
    </border>
    <border>
      <left style="medium">
        <color indexed="23"/>
      </left>
      <right style="medium">
        <color indexed="23"/>
      </right>
      <top style="thin">
        <color indexed="18"/>
      </top>
      <bottom style="thin">
        <color indexed="47"/>
      </bottom>
      <diagonal/>
    </border>
    <border>
      <left/>
      <right style="medium">
        <color indexed="47"/>
      </right>
      <top/>
      <bottom/>
      <diagonal/>
    </border>
    <border>
      <left style="medium">
        <color indexed="47"/>
      </left>
      <right/>
      <top/>
      <bottom/>
      <diagonal/>
    </border>
    <border>
      <left style="thin">
        <color indexed="23"/>
      </left>
      <right style="medium">
        <color indexed="64"/>
      </right>
      <top/>
      <bottom style="thin">
        <color indexed="23"/>
      </bottom>
      <diagonal/>
    </border>
    <border>
      <left style="thin">
        <color indexed="23"/>
      </left>
      <right style="medium">
        <color indexed="64"/>
      </right>
      <top style="thin">
        <color indexed="23"/>
      </top>
      <bottom style="thin">
        <color indexed="23"/>
      </bottom>
      <diagonal/>
    </border>
    <border>
      <left style="medium">
        <color indexed="64"/>
      </left>
      <right style="thin">
        <color indexed="23"/>
      </right>
      <top style="thin">
        <color indexed="23"/>
      </top>
      <bottom style="medium">
        <color indexed="64"/>
      </bottom>
      <diagonal/>
    </border>
    <border>
      <left/>
      <right style="medium">
        <color indexed="64"/>
      </right>
      <top style="thin">
        <color indexed="23"/>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medium">
        <color indexed="64"/>
      </right>
      <top style="thin">
        <color indexed="23"/>
      </top>
      <bottom/>
      <diagonal/>
    </border>
    <border>
      <left style="thin">
        <color indexed="23"/>
      </left>
      <right style="medium">
        <color indexed="64"/>
      </right>
      <top/>
      <bottom/>
      <diagonal/>
    </border>
    <border>
      <left style="thin">
        <color indexed="23"/>
      </left>
      <right style="medium">
        <color indexed="64"/>
      </right>
      <top/>
      <bottom style="thin">
        <color indexed="64"/>
      </bottom>
      <diagonal/>
    </border>
    <border>
      <left style="thin">
        <color indexed="23"/>
      </left>
      <right style="medium">
        <color indexed="64"/>
      </right>
      <top style="thin">
        <color indexed="23"/>
      </top>
      <bottom style="thin">
        <color indexed="64"/>
      </bottom>
      <diagonal/>
    </border>
    <border>
      <left style="thin">
        <color indexed="23"/>
      </left>
      <right style="medium">
        <color indexed="64"/>
      </right>
      <top/>
      <bottom style="medium">
        <color indexed="64"/>
      </bottom>
      <diagonal/>
    </border>
    <border>
      <left style="thin">
        <color indexed="23"/>
      </left>
      <right style="medium">
        <color indexed="64"/>
      </right>
      <top style="thin">
        <color indexed="23"/>
      </top>
      <bottom style="medium">
        <color indexed="64"/>
      </bottom>
      <diagonal/>
    </border>
    <border>
      <left style="medium">
        <color indexed="64"/>
      </left>
      <right style="thin">
        <color indexed="23"/>
      </right>
      <top style="thin">
        <color indexed="64"/>
      </top>
      <bottom style="thin">
        <color indexed="22"/>
      </bottom>
      <diagonal/>
    </border>
    <border>
      <left/>
      <right style="medium">
        <color indexed="64"/>
      </right>
      <top style="thin">
        <color indexed="64"/>
      </top>
      <bottom style="thin">
        <color indexed="22"/>
      </bottom>
      <diagonal/>
    </border>
    <border>
      <left style="thin">
        <color indexed="23"/>
      </left>
      <right style="medium">
        <color indexed="64"/>
      </right>
      <top style="thin">
        <color indexed="22"/>
      </top>
      <bottom/>
      <diagonal/>
    </border>
    <border>
      <left style="thin">
        <color indexed="23"/>
      </left>
      <right style="medium">
        <color indexed="64"/>
      </right>
      <top style="thin">
        <color indexed="22"/>
      </top>
      <bottom style="thin">
        <color indexed="23"/>
      </bottom>
      <diagonal/>
    </border>
    <border>
      <left/>
      <right style="thick">
        <color indexed="47"/>
      </right>
      <top/>
      <bottom style="thin">
        <color indexed="9"/>
      </bottom>
      <diagonal/>
    </border>
    <border>
      <left style="medium">
        <color indexed="64"/>
      </left>
      <right style="medium">
        <color indexed="64"/>
      </right>
      <top style="dotted">
        <color indexed="64"/>
      </top>
      <bottom style="thin">
        <color indexed="47"/>
      </bottom>
      <diagonal/>
    </border>
    <border>
      <left style="medium">
        <color indexed="62"/>
      </left>
      <right style="medium">
        <color indexed="64"/>
      </right>
      <top style="medium">
        <color indexed="64"/>
      </top>
      <bottom style="thin">
        <color indexed="9"/>
      </bottom>
      <diagonal/>
    </border>
    <border>
      <left/>
      <right style="medium">
        <color indexed="64"/>
      </right>
      <top style="thin">
        <color indexed="9"/>
      </top>
      <bottom style="dotted">
        <color indexed="64"/>
      </bottom>
      <diagonal/>
    </border>
    <border>
      <left/>
      <right style="thin">
        <color indexed="9"/>
      </right>
      <top/>
      <bottom style="thick">
        <color indexed="14"/>
      </bottom>
      <diagonal/>
    </border>
    <border>
      <left/>
      <right/>
      <top/>
      <bottom style="medium">
        <color indexed="14"/>
      </bottom>
      <diagonal/>
    </border>
    <border>
      <left/>
      <right style="thin">
        <color indexed="9"/>
      </right>
      <top style="thin">
        <color indexed="9"/>
      </top>
      <bottom style="thick">
        <color indexed="14"/>
      </bottom>
      <diagonal/>
    </border>
    <border>
      <left style="thin">
        <color indexed="9"/>
      </left>
      <right style="thin">
        <color indexed="9"/>
      </right>
      <top style="thin">
        <color indexed="9"/>
      </top>
      <bottom style="thick">
        <color indexed="14"/>
      </bottom>
      <diagonal/>
    </border>
    <border>
      <left style="thin">
        <color indexed="23"/>
      </left>
      <right style="thin">
        <color indexed="23"/>
      </right>
      <top/>
      <bottom style="thick">
        <color indexed="23"/>
      </bottom>
      <diagonal/>
    </border>
    <border>
      <left style="thin">
        <color indexed="23"/>
      </left>
      <right style="thin">
        <color indexed="23"/>
      </right>
      <top style="thin">
        <color indexed="23"/>
      </top>
      <bottom style="thin">
        <color indexed="64"/>
      </bottom>
      <diagonal/>
    </border>
    <border>
      <left style="medium">
        <color indexed="64"/>
      </left>
      <right style="thin">
        <color indexed="64"/>
      </right>
      <top style="thin">
        <color indexed="9"/>
      </top>
      <bottom style="thin">
        <color indexed="64"/>
      </bottom>
      <diagonal/>
    </border>
    <border>
      <left/>
      <right style="thin">
        <color indexed="64"/>
      </right>
      <top style="thin">
        <color indexed="64"/>
      </top>
      <bottom/>
      <diagonal/>
    </border>
    <border>
      <left style="medium">
        <color indexed="64"/>
      </left>
      <right style="thin">
        <color indexed="9"/>
      </right>
      <top style="thin">
        <color indexed="64"/>
      </top>
      <bottom style="dashed">
        <color indexed="64"/>
      </bottom>
      <diagonal/>
    </border>
    <border>
      <left style="thin">
        <color indexed="23"/>
      </left>
      <right style="thin">
        <color indexed="23"/>
      </right>
      <top style="thin">
        <color indexed="64"/>
      </top>
      <bottom style="thin">
        <color indexed="64"/>
      </bottom>
      <diagonal/>
    </border>
    <border>
      <left style="medium">
        <color indexed="64"/>
      </left>
      <right style="thin">
        <color indexed="64"/>
      </right>
      <top/>
      <bottom style="thin">
        <color indexed="9"/>
      </bottom>
      <diagonal/>
    </border>
    <border>
      <left/>
      <right style="thin">
        <color indexed="64"/>
      </right>
      <top/>
      <bottom style="thin">
        <color indexed="9"/>
      </bottom>
      <diagonal/>
    </border>
    <border>
      <left/>
      <right style="thick">
        <color indexed="47"/>
      </right>
      <top style="thin">
        <color indexed="9"/>
      </top>
      <bottom/>
      <diagonal/>
    </border>
    <border>
      <left style="medium">
        <color indexed="9"/>
      </left>
      <right style="medium">
        <color indexed="9"/>
      </right>
      <top style="medium">
        <color indexed="23"/>
      </top>
      <bottom/>
      <diagonal/>
    </border>
    <border>
      <left style="thin">
        <color indexed="64"/>
      </left>
      <right style="medium">
        <color indexed="64"/>
      </right>
      <top/>
      <bottom style="thin">
        <color indexed="64"/>
      </bottom>
      <diagonal/>
    </border>
    <border>
      <left style="thick">
        <color indexed="23"/>
      </left>
      <right/>
      <top style="thin">
        <color indexed="23"/>
      </top>
      <bottom style="thin">
        <color indexed="23"/>
      </bottom>
      <diagonal/>
    </border>
    <border>
      <left/>
      <right style="thin">
        <color indexed="9"/>
      </right>
      <top/>
      <bottom style="thin">
        <color indexed="23"/>
      </bottom>
      <diagonal/>
    </border>
    <border>
      <left/>
      <right style="thin">
        <color indexed="23"/>
      </right>
      <top/>
      <bottom/>
      <diagonal/>
    </border>
    <border>
      <left style="thin">
        <color indexed="23"/>
      </left>
      <right/>
      <top style="thin">
        <color indexed="23"/>
      </top>
      <bottom style="thin">
        <color indexed="23"/>
      </bottom>
      <diagonal/>
    </border>
    <border>
      <left/>
      <right style="thin">
        <color indexed="23"/>
      </right>
      <top style="thick">
        <color indexed="23"/>
      </top>
      <bottom style="thin">
        <color indexed="23"/>
      </bottom>
      <diagonal/>
    </border>
    <border>
      <left style="thin">
        <color indexed="23"/>
      </left>
      <right/>
      <top style="thick">
        <color indexed="23"/>
      </top>
      <bottom style="thin">
        <color indexed="23"/>
      </bottom>
      <diagonal/>
    </border>
    <border>
      <left style="thin">
        <color indexed="23"/>
      </left>
      <right/>
      <top/>
      <bottom style="thin">
        <color indexed="23"/>
      </bottom>
      <diagonal/>
    </border>
    <border>
      <left/>
      <right style="thick">
        <color indexed="23"/>
      </right>
      <top/>
      <bottom style="thin">
        <color indexed="23"/>
      </bottom>
      <diagonal/>
    </border>
    <border>
      <left/>
      <right style="thick">
        <color indexed="23"/>
      </right>
      <top style="thick">
        <color indexed="23"/>
      </top>
      <bottom style="thick">
        <color indexed="23"/>
      </bottom>
      <diagonal/>
    </border>
    <border>
      <left style="thick">
        <color indexed="23"/>
      </left>
      <right/>
      <top style="thin">
        <color indexed="64"/>
      </top>
      <bottom style="thin">
        <color indexed="64"/>
      </bottom>
      <diagonal/>
    </border>
    <border>
      <left/>
      <right style="thin">
        <color indexed="23"/>
      </right>
      <top style="thin">
        <color indexed="64"/>
      </top>
      <bottom style="thin">
        <color indexed="64"/>
      </bottom>
      <diagonal/>
    </border>
    <border>
      <left/>
      <right style="thick">
        <color indexed="23"/>
      </right>
      <top style="thin">
        <color indexed="64"/>
      </top>
      <bottom style="thin">
        <color indexed="64"/>
      </bottom>
      <diagonal/>
    </border>
    <border>
      <left style="thin">
        <color indexed="23"/>
      </left>
      <right/>
      <top style="thick">
        <color indexed="23"/>
      </top>
      <bottom/>
      <diagonal/>
    </border>
    <border>
      <left/>
      <right style="thick">
        <color indexed="23"/>
      </right>
      <top style="thick">
        <color indexed="23"/>
      </top>
      <bottom/>
      <diagonal/>
    </border>
    <border>
      <left style="thin">
        <color indexed="23"/>
      </left>
      <right/>
      <top style="thin">
        <color indexed="23"/>
      </top>
      <bottom/>
      <diagonal/>
    </border>
    <border>
      <left/>
      <right style="thick">
        <color indexed="23"/>
      </right>
      <top style="thin">
        <color indexed="23"/>
      </top>
      <bottom/>
      <diagonal/>
    </border>
    <border>
      <left/>
      <right style="thin">
        <color indexed="9"/>
      </right>
      <top style="thin">
        <color indexed="23"/>
      </top>
      <bottom style="thin">
        <color indexed="23"/>
      </bottom>
      <diagonal/>
    </border>
    <border>
      <left style="thick">
        <color indexed="23"/>
      </left>
      <right/>
      <top style="thin">
        <color indexed="23"/>
      </top>
      <bottom style="thin">
        <color indexed="64"/>
      </bottom>
      <diagonal/>
    </border>
    <border>
      <left/>
      <right style="thin">
        <color indexed="23"/>
      </right>
      <top style="thin">
        <color indexed="23"/>
      </top>
      <bottom style="thin">
        <color indexed="64"/>
      </bottom>
      <diagonal/>
    </border>
    <border>
      <left/>
      <right/>
      <top style="thin">
        <color indexed="23"/>
      </top>
      <bottom style="thin">
        <color indexed="64"/>
      </bottom>
      <diagonal/>
    </border>
    <border>
      <left/>
      <right style="thick">
        <color indexed="23"/>
      </right>
      <top style="thin">
        <color indexed="23"/>
      </top>
      <bottom style="thin">
        <color indexed="64"/>
      </bottom>
      <diagonal/>
    </border>
    <border>
      <left style="thin">
        <color indexed="23"/>
      </left>
      <right/>
      <top/>
      <bottom/>
      <diagonal/>
    </border>
    <border>
      <left/>
      <right style="thin">
        <color indexed="23"/>
      </right>
      <top style="thin">
        <color indexed="64"/>
      </top>
      <bottom/>
      <diagonal/>
    </border>
    <border>
      <left style="thin">
        <color indexed="23"/>
      </left>
      <right/>
      <top style="thin">
        <color indexed="23"/>
      </top>
      <bottom style="medium">
        <color indexed="64"/>
      </bottom>
      <diagonal/>
    </border>
    <border>
      <left/>
      <right/>
      <top style="thin">
        <color indexed="23"/>
      </top>
      <bottom style="medium">
        <color indexed="64"/>
      </bottom>
      <diagonal/>
    </border>
    <border>
      <left/>
      <right style="thin">
        <color indexed="9"/>
      </right>
      <top style="thin">
        <color indexed="23"/>
      </top>
      <bottom style="medium">
        <color indexed="64"/>
      </bottom>
      <diagonal/>
    </border>
    <border>
      <left/>
      <right/>
      <top style="thin">
        <color indexed="23"/>
      </top>
      <bottom style="thick">
        <color indexed="23"/>
      </bottom>
      <diagonal/>
    </border>
    <border>
      <left/>
      <right style="thin">
        <color indexed="23"/>
      </right>
      <top style="thin">
        <color indexed="23"/>
      </top>
      <bottom style="thick">
        <color indexed="23"/>
      </bottom>
      <diagonal/>
    </border>
    <border>
      <left style="thin">
        <color indexed="23"/>
      </left>
      <right/>
      <top style="thin">
        <color indexed="23"/>
      </top>
      <bottom style="thick">
        <color indexed="23"/>
      </bottom>
      <diagonal/>
    </border>
    <border>
      <left/>
      <right style="thick">
        <color indexed="23"/>
      </right>
      <top style="thin">
        <color indexed="23"/>
      </top>
      <bottom style="thick">
        <color indexed="23"/>
      </bottom>
      <diagonal/>
    </border>
    <border>
      <left/>
      <right style="thick">
        <color indexed="47"/>
      </right>
      <top style="medium">
        <color indexed="23"/>
      </top>
      <bottom/>
      <diagonal/>
    </border>
    <border>
      <left/>
      <right style="thick">
        <color indexed="23"/>
      </right>
      <top style="thin">
        <color indexed="18"/>
      </top>
      <bottom/>
      <diagonal/>
    </border>
    <border>
      <left/>
      <right style="thin">
        <color indexed="64"/>
      </right>
      <top style="thin">
        <color indexed="64"/>
      </top>
      <bottom style="thin">
        <color indexed="64"/>
      </bottom>
      <diagonal/>
    </border>
    <border>
      <left/>
      <right style="medium">
        <color indexed="9"/>
      </right>
      <top style="medium">
        <color indexed="64"/>
      </top>
      <bottom style="thin">
        <color indexed="64"/>
      </bottom>
      <diagonal/>
    </border>
    <border>
      <left style="medium">
        <color indexed="9"/>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thin">
        <color indexed="9"/>
      </right>
      <top style="thin">
        <color indexed="64"/>
      </top>
      <bottom style="medium">
        <color indexed="64"/>
      </bottom>
      <diagonal/>
    </border>
    <border>
      <left style="thin">
        <color indexed="64"/>
      </left>
      <right/>
      <top/>
      <bottom style="thin">
        <color indexed="64"/>
      </bottom>
      <diagonal/>
    </border>
    <border>
      <left style="medium">
        <color indexed="9"/>
      </left>
      <right/>
      <top style="medium">
        <color indexed="23"/>
      </top>
      <bottom/>
      <diagonal/>
    </border>
    <border>
      <left/>
      <right/>
      <top style="thick">
        <color theme="0" tint="-0.499984740745262"/>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2070">
    <xf numFmtId="0" fontId="0" fillId="0" borderId="0" xfId="0"/>
    <xf numFmtId="0" fontId="0" fillId="2" borderId="0" xfId="0" applyFill="1"/>
    <xf numFmtId="0" fontId="0" fillId="2" borderId="0" xfId="0" applyFill="1"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Border="1"/>
    <xf numFmtId="0" fontId="0" fillId="0" borderId="9" xfId="0" applyBorder="1"/>
    <xf numFmtId="0" fontId="0" fillId="0" borderId="10" xfId="0" applyBorder="1"/>
    <xf numFmtId="0" fontId="0" fillId="0" borderId="11" xfId="0" applyBorder="1"/>
    <xf numFmtId="0" fontId="0" fillId="0" borderId="12" xfId="0" applyBorder="1"/>
    <xf numFmtId="0" fontId="10" fillId="0" borderId="3" xfId="0" applyFont="1" applyBorder="1"/>
    <xf numFmtId="0" fontId="10" fillId="0" borderId="7" xfId="0" applyFont="1" applyBorder="1"/>
    <xf numFmtId="0" fontId="10" fillId="0" borderId="5" xfId="0" applyFont="1" applyBorder="1"/>
    <xf numFmtId="0" fontId="0" fillId="0" borderId="13" xfId="0" applyBorder="1"/>
    <xf numFmtId="0" fontId="0" fillId="2" borderId="14" xfId="0" applyFill="1" applyBorder="1"/>
    <xf numFmtId="0" fontId="0" fillId="2" borderId="2" xfId="0" applyFill="1" applyBorder="1"/>
    <xf numFmtId="0" fontId="5" fillId="0" borderId="8" xfId="0" applyFont="1" applyBorder="1"/>
    <xf numFmtId="0" fontId="0" fillId="2" borderId="3" xfId="0" applyFill="1" applyBorder="1"/>
    <xf numFmtId="0" fontId="31" fillId="0" borderId="7" xfId="1" applyFont="1" applyBorder="1" applyAlignment="1" applyProtection="1"/>
    <xf numFmtId="0" fontId="10" fillId="2" borderId="15" xfId="0" applyFont="1" applyFill="1" applyBorder="1" applyAlignment="1">
      <alignment vertical="center"/>
    </xf>
    <xf numFmtId="0" fontId="0" fillId="0" borderId="14" xfId="0" applyBorder="1"/>
    <xf numFmtId="0" fontId="1" fillId="0" borderId="13" xfId="0" applyFont="1" applyBorder="1"/>
    <xf numFmtId="0" fontId="12" fillId="0" borderId="5" xfId="0" applyFont="1" applyFill="1" applyBorder="1" applyAlignment="1">
      <alignment horizontal="left" vertical="center"/>
    </xf>
    <xf numFmtId="3" fontId="46" fillId="0" borderId="5" xfId="0" applyNumberFormat="1" applyFont="1" applyBorder="1" applyAlignment="1">
      <alignment horizontal="center" vertical="center"/>
    </xf>
    <xf numFmtId="0" fontId="8" fillId="0" borderId="5" xfId="0" applyFont="1" applyFill="1" applyBorder="1" applyAlignment="1">
      <alignment horizontal="center" vertical="center"/>
    </xf>
    <xf numFmtId="0" fontId="0" fillId="0" borderId="5" xfId="0" applyFill="1" applyBorder="1"/>
    <xf numFmtId="3" fontId="44" fillId="0" borderId="16" xfId="0" applyNumberFormat="1" applyFont="1" applyBorder="1" applyAlignment="1">
      <alignment horizontal="center" wrapText="1"/>
    </xf>
    <xf numFmtId="0" fontId="0" fillId="0" borderId="17" xfId="0" applyBorder="1"/>
    <xf numFmtId="0" fontId="0" fillId="0" borderId="12" xfId="0" applyFill="1" applyBorder="1"/>
    <xf numFmtId="0" fontId="0" fillId="0" borderId="0" xfId="0" applyFill="1"/>
    <xf numFmtId="0" fontId="0" fillId="3" borderId="0" xfId="0" applyFill="1"/>
    <xf numFmtId="0" fontId="0" fillId="3" borderId="18" xfId="0" applyFill="1" applyBorder="1"/>
    <xf numFmtId="0" fontId="0" fillId="3" borderId="19" xfId="0" applyFill="1" applyBorder="1"/>
    <xf numFmtId="0" fontId="0" fillId="3" borderId="20" xfId="0" applyFill="1" applyBorder="1"/>
    <xf numFmtId="0" fontId="0" fillId="3" borderId="21" xfId="0" applyFill="1" applyBorder="1"/>
    <xf numFmtId="0" fontId="53" fillId="3" borderId="22" xfId="0" applyFont="1" applyFill="1"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13" fillId="0" borderId="4" xfId="0" applyFont="1" applyBorder="1" applyAlignment="1">
      <alignment vertical="center"/>
    </xf>
    <xf numFmtId="0" fontId="10" fillId="0" borderId="0" xfId="0" applyFont="1" applyBorder="1" applyAlignment="1">
      <alignment vertical="center"/>
    </xf>
    <xf numFmtId="0" fontId="1" fillId="0" borderId="11" xfId="0" applyFont="1" applyBorder="1"/>
    <xf numFmtId="0" fontId="0" fillId="0" borderId="0" xfId="0" applyFill="1" applyBorder="1"/>
    <xf numFmtId="0" fontId="2" fillId="4" borderId="0" xfId="1" applyFont="1" applyFill="1" applyBorder="1" applyAlignment="1" applyProtection="1"/>
    <xf numFmtId="0" fontId="23" fillId="0" borderId="4" xfId="0" applyFont="1" applyFill="1" applyBorder="1" applyAlignment="1">
      <alignment horizontal="left" vertical="center"/>
    </xf>
    <xf numFmtId="0" fontId="37" fillId="0" borderId="39" xfId="0" applyFont="1" applyFill="1" applyBorder="1"/>
    <xf numFmtId="0" fontId="23" fillId="0" borderId="40" xfId="0" applyFont="1" applyFill="1" applyBorder="1" applyAlignment="1">
      <alignment horizontal="left" vertical="center"/>
    </xf>
    <xf numFmtId="0" fontId="10" fillId="4" borderId="0" xfId="0" applyFont="1" applyFill="1" applyBorder="1" applyAlignment="1">
      <alignment vertical="center"/>
    </xf>
    <xf numFmtId="0" fontId="27" fillId="0" borderId="0" xfId="0" applyFont="1" applyFill="1" applyBorder="1" applyAlignment="1">
      <alignment horizontal="left"/>
    </xf>
    <xf numFmtId="0" fontId="1" fillId="0" borderId="0" xfId="0" applyFont="1" applyFill="1" applyBorder="1" applyAlignment="1">
      <alignment horizontal="center"/>
    </xf>
    <xf numFmtId="0" fontId="13" fillId="0" borderId="0" xfId="0" applyFont="1" applyFill="1" applyBorder="1" applyAlignment="1">
      <alignment vertical="center"/>
    </xf>
    <xf numFmtId="0" fontId="12" fillId="0" borderId="0" xfId="0" applyFont="1" applyFill="1" applyBorder="1" applyAlignment="1"/>
    <xf numFmtId="0" fontId="12" fillId="0" borderId="0" xfId="0" applyFont="1" applyFill="1" applyBorder="1" applyAlignment="1">
      <alignment horizontal="left" vertical="center"/>
    </xf>
    <xf numFmtId="0" fontId="52" fillId="0" borderId="0" xfId="0" applyFont="1" applyFill="1" applyBorder="1" applyAlignment="1">
      <alignment horizontal="left"/>
    </xf>
    <xf numFmtId="0" fontId="7" fillId="3" borderId="0" xfId="0" applyFont="1" applyFill="1" applyBorder="1" applyAlignment="1">
      <alignment horizontal="left"/>
    </xf>
    <xf numFmtId="0" fontId="28" fillId="0" borderId="0" xfId="0" applyFont="1" applyFill="1" applyBorder="1" applyAlignment="1">
      <alignment horizontal="left"/>
    </xf>
    <xf numFmtId="0" fontId="29" fillId="0" borderId="0" xfId="0" applyFont="1" applyFill="1" applyBorder="1" applyAlignment="1">
      <alignment horizontal="left"/>
    </xf>
    <xf numFmtId="0" fontId="30" fillId="0" borderId="0" xfId="0" applyFont="1" applyFill="1" applyBorder="1" applyAlignment="1">
      <alignment horizontal="left"/>
    </xf>
    <xf numFmtId="0" fontId="8" fillId="3" borderId="41" xfId="0" applyFont="1" applyFill="1" applyBorder="1" applyAlignment="1">
      <alignment horizontal="left"/>
    </xf>
    <xf numFmtId="3" fontId="55" fillId="0" borderId="42" xfId="0" applyNumberFormat="1" applyFont="1" applyBorder="1" applyAlignment="1">
      <alignment horizontal="center" vertical="center" wrapText="1"/>
    </xf>
    <xf numFmtId="3" fontId="44" fillId="0" borderId="8" xfId="0" applyNumberFormat="1" applyFont="1" applyBorder="1" applyAlignment="1">
      <alignment horizontal="center" vertical="center" wrapText="1"/>
    </xf>
    <xf numFmtId="3" fontId="44" fillId="0" borderId="43" xfId="0" applyNumberFormat="1" applyFont="1" applyBorder="1" applyAlignment="1">
      <alignment horizontal="center" vertical="center" wrapText="1"/>
    </xf>
    <xf numFmtId="0" fontId="1" fillId="3" borderId="44" xfId="0" applyFont="1" applyFill="1" applyBorder="1" applyAlignment="1">
      <alignment horizontal="center"/>
    </xf>
    <xf numFmtId="3" fontId="44" fillId="0" borderId="4" xfId="0" applyNumberFormat="1" applyFont="1" applyBorder="1" applyAlignment="1">
      <alignment horizontal="center" wrapText="1"/>
    </xf>
    <xf numFmtId="3" fontId="44" fillId="0" borderId="45" xfId="0" applyNumberFormat="1" applyFont="1" applyBorder="1" applyAlignment="1">
      <alignment horizontal="center" wrapText="1"/>
    </xf>
    <xf numFmtId="3" fontId="55" fillId="0" borderId="7" xfId="0" applyNumberFormat="1" applyFont="1" applyBorder="1" applyAlignment="1">
      <alignment horizontal="center" vertical="center" wrapText="1"/>
    </xf>
    <xf numFmtId="3" fontId="44" fillId="0" borderId="45" xfId="0" applyNumberFormat="1" applyFont="1" applyBorder="1" applyAlignment="1">
      <alignment horizontal="center" vertical="center" wrapText="1"/>
    </xf>
    <xf numFmtId="3" fontId="44" fillId="0" borderId="16" xfId="0" applyNumberFormat="1" applyFont="1" applyBorder="1" applyAlignment="1">
      <alignment horizontal="center" vertical="center" wrapText="1"/>
    </xf>
    <xf numFmtId="0" fontId="41" fillId="5" borderId="46" xfId="0" applyFont="1" applyFill="1" applyBorder="1" applyAlignment="1">
      <alignment horizontal="left" vertical="center"/>
    </xf>
    <xf numFmtId="0" fontId="40" fillId="5" borderId="46" xfId="0" applyFont="1" applyFill="1" applyBorder="1" applyAlignment="1">
      <alignment horizontal="center" vertical="center" wrapText="1"/>
    </xf>
    <xf numFmtId="0" fontId="39" fillId="5" borderId="46" xfId="0" applyFont="1" applyFill="1" applyBorder="1"/>
    <xf numFmtId="0" fontId="0" fillId="0" borderId="47" xfId="0" applyBorder="1"/>
    <xf numFmtId="0" fontId="66" fillId="0" borderId="45" xfId="0" applyFont="1" applyFill="1" applyBorder="1" applyAlignment="1">
      <alignment horizontal="left" indent="1"/>
    </xf>
    <xf numFmtId="0" fontId="48" fillId="0" borderId="43" xfId="0" applyFont="1" applyFill="1" applyBorder="1" applyAlignment="1">
      <alignment horizontal="left" indent="1"/>
    </xf>
    <xf numFmtId="0" fontId="48" fillId="0" borderId="45" xfId="0" applyFont="1" applyFill="1" applyBorder="1" applyAlignment="1">
      <alignment horizontal="left" indent="1"/>
    </xf>
    <xf numFmtId="0" fontId="48" fillId="0" borderId="43" xfId="0" applyFont="1" applyFill="1" applyBorder="1" applyAlignment="1">
      <alignment vertical="center"/>
    </xf>
    <xf numFmtId="0" fontId="15" fillId="0" borderId="43" xfId="0" applyFont="1" applyFill="1" applyBorder="1" applyAlignment="1">
      <alignment vertical="center"/>
    </xf>
    <xf numFmtId="0" fontId="0" fillId="3" borderId="41" xfId="0" applyFill="1" applyBorder="1"/>
    <xf numFmtId="0" fontId="48" fillId="0" borderId="48" xfId="0" applyFont="1" applyFill="1" applyBorder="1" applyAlignment="1">
      <alignment horizontal="center"/>
    </xf>
    <xf numFmtId="0" fontId="48" fillId="0" borderId="5" xfId="0" applyFont="1" applyFill="1" applyBorder="1" applyAlignment="1">
      <alignment horizontal="left"/>
    </xf>
    <xf numFmtId="0" fontId="48" fillId="0" borderId="4" xfId="0" applyFont="1" applyFill="1" applyBorder="1" applyAlignment="1">
      <alignment horizontal="center"/>
    </xf>
    <xf numFmtId="0" fontId="48" fillId="0" borderId="43" xfId="0" applyFont="1" applyFill="1" applyBorder="1" applyAlignment="1">
      <alignment horizontal="left"/>
    </xf>
    <xf numFmtId="0" fontId="48" fillId="0" borderId="45" xfId="0" applyFont="1" applyFill="1" applyBorder="1" applyAlignment="1">
      <alignment horizontal="left"/>
    </xf>
    <xf numFmtId="0" fontId="8" fillId="0" borderId="43" xfId="0" applyFont="1" applyFill="1" applyBorder="1" applyAlignment="1">
      <alignment horizontal="center"/>
    </xf>
    <xf numFmtId="0" fontId="48" fillId="0" borderId="7" xfId="0" applyFont="1" applyFill="1" applyBorder="1" applyAlignment="1">
      <alignment horizontal="center"/>
    </xf>
    <xf numFmtId="3" fontId="69" fillId="0" borderId="49" xfId="0" applyNumberFormat="1" applyFont="1" applyFill="1" applyBorder="1" applyAlignment="1">
      <alignment horizontal="center" vertical="center" wrapText="1"/>
    </xf>
    <xf numFmtId="0" fontId="6" fillId="0" borderId="43" xfId="0" applyFont="1" applyFill="1" applyBorder="1" applyAlignment="1">
      <alignment horizontal="center"/>
    </xf>
    <xf numFmtId="0" fontId="71" fillId="0" borderId="43" xfId="0" applyFont="1" applyFill="1" applyBorder="1" applyAlignment="1">
      <alignment horizontal="center"/>
    </xf>
    <xf numFmtId="0" fontId="73" fillId="3" borderId="50" xfId="0" applyFont="1" applyFill="1" applyBorder="1" applyAlignment="1">
      <alignment horizontal="left" vertical="center"/>
    </xf>
    <xf numFmtId="0" fontId="72" fillId="3" borderId="51" xfId="0" applyFont="1" applyFill="1" applyBorder="1" applyAlignment="1">
      <alignment horizontal="center" vertical="center"/>
    </xf>
    <xf numFmtId="0" fontId="73" fillId="3" borderId="52" xfId="0" applyFont="1" applyFill="1" applyBorder="1" applyAlignment="1">
      <alignment horizontal="left" vertical="center"/>
    </xf>
    <xf numFmtId="0" fontId="72" fillId="3" borderId="53" xfId="0" applyFont="1" applyFill="1" applyBorder="1" applyAlignment="1">
      <alignment horizontal="center" vertical="center"/>
    </xf>
    <xf numFmtId="0" fontId="0" fillId="0" borderId="54" xfId="0" applyBorder="1"/>
    <xf numFmtId="0" fontId="43" fillId="0" borderId="0" xfId="0" applyFont="1" applyFill="1" applyBorder="1"/>
    <xf numFmtId="0" fontId="49" fillId="0" borderId="55" xfId="0" applyFont="1" applyFill="1" applyBorder="1" applyAlignment="1">
      <alignment vertical="center"/>
    </xf>
    <xf numFmtId="0" fontId="49" fillId="0" borderId="43" xfId="0" applyFont="1" applyFill="1" applyBorder="1" applyAlignment="1">
      <alignment vertical="center"/>
    </xf>
    <xf numFmtId="0" fontId="49" fillId="0" borderId="45" xfId="0" applyFont="1" applyFill="1" applyBorder="1" applyAlignment="1">
      <alignment vertical="center"/>
    </xf>
    <xf numFmtId="0" fontId="48" fillId="0" borderId="45" xfId="0" applyFont="1" applyFill="1" applyBorder="1" applyAlignment="1">
      <alignment vertical="center"/>
    </xf>
    <xf numFmtId="0" fontId="0" fillId="0" borderId="4" xfId="0" applyFill="1" applyBorder="1"/>
    <xf numFmtId="0" fontId="43" fillId="0" borderId="4" xfId="0" applyFont="1" applyFill="1" applyBorder="1"/>
    <xf numFmtId="0" fontId="63" fillId="0" borderId="56" xfId="0" applyFont="1" applyFill="1" applyBorder="1" applyAlignment="1">
      <alignment horizontal="left" vertical="center"/>
    </xf>
    <xf numFmtId="0" fontId="34" fillId="0" borderId="10" xfId="0" applyFont="1" applyFill="1" applyBorder="1" applyAlignment="1">
      <alignment vertical="center"/>
    </xf>
    <xf numFmtId="0" fontId="34" fillId="0" borderId="57" xfId="0" applyFont="1" applyFill="1" applyBorder="1" applyAlignment="1">
      <alignment vertical="center"/>
    </xf>
    <xf numFmtId="0" fontId="34" fillId="0" borderId="4" xfId="0" applyFont="1" applyFill="1" applyBorder="1" applyAlignment="1">
      <alignment vertical="center"/>
    </xf>
    <xf numFmtId="0" fontId="54" fillId="0" borderId="10" xfId="0" applyFont="1" applyFill="1" applyBorder="1"/>
    <xf numFmtId="0" fontId="42" fillId="0" borderId="4" xfId="0" applyFont="1" applyFill="1" applyBorder="1"/>
    <xf numFmtId="0" fontId="54" fillId="0" borderId="9" xfId="0" applyFont="1" applyFill="1" applyBorder="1"/>
    <xf numFmtId="0" fontId="1" fillId="0" borderId="7" xfId="1" applyFont="1" applyBorder="1" applyAlignment="1" applyProtection="1"/>
    <xf numFmtId="0" fontId="16" fillId="0" borderId="0" xfId="0" applyFont="1" applyFill="1" applyBorder="1" applyAlignment="1">
      <alignment horizontal="center"/>
    </xf>
    <xf numFmtId="0" fontId="20" fillId="0" borderId="0" xfId="0" applyFont="1" applyFill="1" applyBorder="1" applyAlignment="1">
      <alignment horizontal="left"/>
    </xf>
    <xf numFmtId="0" fontId="38" fillId="0" borderId="0" xfId="0" applyFont="1" applyFill="1" applyBorder="1" applyAlignment="1">
      <alignment horizontal="left"/>
    </xf>
    <xf numFmtId="0" fontId="8" fillId="0" borderId="0" xfId="0" applyFont="1" applyFill="1" applyBorder="1" applyAlignment="1">
      <alignment horizontal="left" vertical="center"/>
    </xf>
    <xf numFmtId="0" fontId="1" fillId="0" borderId="0" xfId="0" applyFont="1" applyFill="1" applyBorder="1" applyAlignment="1">
      <alignment horizontal="left" vertical="center"/>
    </xf>
    <xf numFmtId="0" fontId="19" fillId="0" borderId="0" xfId="0" applyNumberFormat="1" applyFont="1" applyFill="1" applyBorder="1" applyAlignment="1">
      <alignment horizontal="center" vertical="center" wrapText="1"/>
    </xf>
    <xf numFmtId="0" fontId="41" fillId="0" borderId="0" xfId="0" applyFont="1" applyFill="1" applyBorder="1" applyAlignment="1">
      <alignment horizontal="left" vertical="center"/>
    </xf>
    <xf numFmtId="0" fontId="38" fillId="0" borderId="0" xfId="0" applyFont="1" applyFill="1" applyBorder="1"/>
    <xf numFmtId="0" fontId="48" fillId="0" borderId="42" xfId="0" applyFont="1" applyFill="1" applyBorder="1" applyAlignment="1">
      <alignment horizontal="center"/>
    </xf>
    <xf numFmtId="0" fontId="7" fillId="0" borderId="58" xfId="0" applyFont="1" applyFill="1" applyBorder="1" applyAlignment="1">
      <alignment horizontal="center"/>
    </xf>
    <xf numFmtId="0" fontId="66" fillId="0" borderId="16" xfId="0" applyFont="1" applyFill="1" applyBorder="1" applyAlignment="1">
      <alignment horizontal="left" indent="1"/>
    </xf>
    <xf numFmtId="0" fontId="48" fillId="0" borderId="16" xfId="0" applyFont="1" applyFill="1" applyBorder="1" applyAlignment="1">
      <alignment horizontal="left" indent="1"/>
    </xf>
    <xf numFmtId="0" fontId="7" fillId="0" borderId="45" xfId="0" applyFont="1" applyFill="1" applyBorder="1" applyAlignment="1">
      <alignment horizontal="center"/>
    </xf>
    <xf numFmtId="0" fontId="24" fillId="0" borderId="58" xfId="0" applyFont="1" applyFill="1" applyBorder="1" applyAlignment="1"/>
    <xf numFmtId="0" fontId="7" fillId="0" borderId="59" xfId="0" applyFont="1" applyFill="1" applyBorder="1" applyAlignment="1">
      <alignment horizontal="center"/>
    </xf>
    <xf numFmtId="0" fontId="7" fillId="3" borderId="60" xfId="0" applyFont="1" applyFill="1" applyBorder="1" applyAlignment="1">
      <alignment horizontal="left" vertical="center"/>
    </xf>
    <xf numFmtId="0" fontId="20" fillId="3" borderId="0" xfId="0" applyFont="1" applyFill="1" applyBorder="1" applyAlignment="1">
      <alignment horizontal="left" vertical="center"/>
    </xf>
    <xf numFmtId="0" fontId="4" fillId="0" borderId="16" xfId="0" applyFont="1" applyFill="1" applyBorder="1" applyAlignment="1">
      <alignment horizontal="center" vertical="center"/>
    </xf>
    <xf numFmtId="0" fontId="4" fillId="0" borderId="42" xfId="0" applyFont="1" applyFill="1" applyBorder="1" applyAlignment="1">
      <alignment horizontal="center" vertical="center"/>
    </xf>
    <xf numFmtId="3" fontId="44" fillId="0" borderId="61" xfId="0" applyNumberFormat="1" applyFont="1" applyBorder="1" applyAlignment="1">
      <alignment horizontal="center" wrapText="1"/>
    </xf>
    <xf numFmtId="3" fontId="69" fillId="0" borderId="62" xfId="0" applyNumberFormat="1" applyFont="1" applyFill="1" applyBorder="1" applyAlignment="1">
      <alignment horizontal="center" vertical="center" wrapText="1"/>
    </xf>
    <xf numFmtId="0" fontId="73" fillId="0" borderId="63" xfId="0" applyFont="1" applyFill="1" applyBorder="1" applyAlignment="1">
      <alignment horizontal="left" vertical="center"/>
    </xf>
    <xf numFmtId="0" fontId="73" fillId="0" borderId="61" xfId="0" applyFont="1" applyFill="1" applyBorder="1" applyAlignment="1">
      <alignment horizontal="left" vertical="center"/>
    </xf>
    <xf numFmtId="0" fontId="39" fillId="5" borderId="64" xfId="0" applyFont="1" applyFill="1" applyBorder="1"/>
    <xf numFmtId="0" fontId="66" fillId="0" borderId="65" xfId="0" applyFont="1" applyFill="1" applyBorder="1" applyAlignment="1">
      <alignment horizontal="left" indent="1"/>
    </xf>
    <xf numFmtId="0" fontId="13" fillId="0" borderId="65" xfId="0" applyFont="1" applyFill="1" applyBorder="1" applyAlignment="1">
      <alignment vertical="center"/>
    </xf>
    <xf numFmtId="0" fontId="76" fillId="3" borderId="51" xfId="0" applyFont="1" applyFill="1" applyBorder="1" applyAlignment="1">
      <alignment horizontal="left" vertical="center"/>
    </xf>
    <xf numFmtId="0" fontId="77" fillId="3" borderId="51" xfId="0" applyFont="1" applyFill="1" applyBorder="1" applyAlignment="1">
      <alignment horizontal="left" vertical="center"/>
    </xf>
    <xf numFmtId="3" fontId="51" fillId="0" borderId="0" xfId="0" applyNumberFormat="1" applyFont="1" applyFill="1" applyBorder="1" applyAlignment="1">
      <alignment horizontal="center" vertical="center"/>
    </xf>
    <xf numFmtId="0" fontId="1" fillId="0" borderId="0" xfId="0" applyFont="1" applyFill="1" applyBorder="1" applyAlignment="1">
      <alignment horizontal="left"/>
    </xf>
    <xf numFmtId="0" fontId="1" fillId="0" borderId="0" xfId="0" applyFont="1" applyFill="1" applyBorder="1" applyAlignment="1">
      <alignment horizontal="right"/>
    </xf>
    <xf numFmtId="0" fontId="0" fillId="0" borderId="66" xfId="0" applyBorder="1"/>
    <xf numFmtId="0" fontId="27" fillId="3" borderId="60" xfId="0" applyFont="1" applyFill="1" applyBorder="1" applyAlignment="1">
      <alignment horizontal="left"/>
    </xf>
    <xf numFmtId="0" fontId="14" fillId="0" borderId="12" xfId="1" applyFont="1" applyBorder="1" applyAlignment="1" applyProtection="1"/>
    <xf numFmtId="0" fontId="23" fillId="3" borderId="60" xfId="0" applyFont="1" applyFill="1" applyBorder="1"/>
    <xf numFmtId="0" fontId="48" fillId="0" borderId="4" xfId="0" applyFont="1" applyFill="1" applyBorder="1" applyAlignment="1">
      <alignment horizontal="left"/>
    </xf>
    <xf numFmtId="0" fontId="48" fillId="0" borderId="42" xfId="0" applyFont="1" applyFill="1" applyBorder="1" applyAlignment="1">
      <alignment horizontal="left"/>
    </xf>
    <xf numFmtId="0" fontId="48" fillId="0" borderId="16" xfId="0" applyFont="1" applyFill="1" applyBorder="1" applyAlignment="1">
      <alignment horizontal="left"/>
    </xf>
    <xf numFmtId="0" fontId="29" fillId="0" borderId="58" xfId="0" applyFont="1" applyFill="1" applyBorder="1" applyAlignment="1">
      <alignment horizontal="left"/>
    </xf>
    <xf numFmtId="0" fontId="31" fillId="0" borderId="59" xfId="1" applyFont="1" applyFill="1" applyBorder="1" applyAlignment="1" applyProtection="1">
      <alignment horizontal="left" indent="1"/>
    </xf>
    <xf numFmtId="0" fontId="70" fillId="0" borderId="39" xfId="0" applyFont="1" applyFill="1" applyBorder="1" applyAlignment="1">
      <alignment horizontal="center" vertical="center"/>
    </xf>
    <xf numFmtId="0" fontId="73" fillId="0" borderId="16" xfId="0" applyFont="1" applyFill="1" applyBorder="1" applyAlignment="1">
      <alignment horizontal="left" vertical="center"/>
    </xf>
    <xf numFmtId="0" fontId="68" fillId="0" borderId="67" xfId="0" applyFont="1" applyFill="1" applyBorder="1" applyAlignment="1">
      <alignment horizontal="left" vertical="center"/>
    </xf>
    <xf numFmtId="3" fontId="44" fillId="0" borderId="16" xfId="0" applyNumberFormat="1" applyFont="1" applyBorder="1" applyAlignment="1">
      <alignment horizontal="right" wrapText="1"/>
    </xf>
    <xf numFmtId="3" fontId="44" fillId="0" borderId="68" xfId="0" applyNumberFormat="1" applyFont="1" applyBorder="1" applyAlignment="1">
      <alignment horizontal="center" wrapText="1"/>
    </xf>
    <xf numFmtId="3" fontId="55" fillId="0" borderId="69" xfId="0" applyNumberFormat="1" applyFont="1" applyBorder="1" applyAlignment="1">
      <alignment horizontal="center" vertical="center" wrapText="1"/>
    </xf>
    <xf numFmtId="0" fontId="73" fillId="0" borderId="68" xfId="0" applyFont="1" applyFill="1" applyBorder="1" applyAlignment="1">
      <alignment horizontal="left" vertical="center"/>
    </xf>
    <xf numFmtId="0" fontId="4" fillId="0" borderId="69" xfId="0" applyFont="1" applyFill="1" applyBorder="1" applyAlignment="1">
      <alignment horizontal="center" vertical="center"/>
    </xf>
    <xf numFmtId="0" fontId="72" fillId="0" borderId="45" xfId="0" applyFont="1" applyFill="1" applyBorder="1" applyAlignment="1">
      <alignment horizontal="right"/>
    </xf>
    <xf numFmtId="0" fontId="6" fillId="0" borderId="43" xfId="0" applyFont="1" applyFill="1" applyBorder="1" applyAlignment="1">
      <alignment horizontal="right" indent="1"/>
    </xf>
    <xf numFmtId="0" fontId="72" fillId="0" borderId="43" xfId="0" applyFont="1" applyFill="1" applyBorder="1" applyAlignment="1">
      <alignment horizontal="right" indent="1"/>
    </xf>
    <xf numFmtId="0" fontId="11" fillId="0" borderId="58" xfId="0" applyFont="1" applyFill="1" applyBorder="1" applyAlignment="1">
      <alignment horizontal="left" vertical="center"/>
    </xf>
    <xf numFmtId="0" fontId="73" fillId="0" borderId="70" xfId="0" applyFont="1" applyFill="1" applyBorder="1" applyAlignment="1">
      <alignment horizontal="left" vertical="center"/>
    </xf>
    <xf numFmtId="3" fontId="44" fillId="0" borderId="71" xfId="0" applyNumberFormat="1" applyFont="1" applyBorder="1" applyAlignment="1">
      <alignment horizontal="left" wrapText="1"/>
    </xf>
    <xf numFmtId="0" fontId="73" fillId="0" borderId="72" xfId="0" applyFont="1" applyFill="1" applyBorder="1" applyAlignment="1">
      <alignment horizontal="left" vertical="center"/>
    </xf>
    <xf numFmtId="3" fontId="44" fillId="0" borderId="73" xfId="0" applyNumberFormat="1" applyFont="1" applyBorder="1" applyAlignment="1">
      <alignment horizontal="center" wrapText="1"/>
    </xf>
    <xf numFmtId="3" fontId="44" fillId="0" borderId="72" xfId="0" applyNumberFormat="1" applyFont="1" applyBorder="1" applyAlignment="1">
      <alignment horizontal="center" wrapText="1"/>
    </xf>
    <xf numFmtId="0" fontId="73" fillId="0" borderId="43" xfId="0" applyFont="1" applyFill="1" applyBorder="1" applyAlignment="1">
      <alignment horizontal="left" vertical="center"/>
    </xf>
    <xf numFmtId="3" fontId="44" fillId="0" borderId="74" xfId="0" applyNumberFormat="1" applyFont="1" applyBorder="1" applyAlignment="1">
      <alignment horizontal="left" wrapText="1"/>
    </xf>
    <xf numFmtId="0" fontId="73" fillId="0" borderId="45" xfId="0" applyFont="1" applyFill="1" applyBorder="1" applyAlignment="1">
      <alignment horizontal="left" vertical="center"/>
    </xf>
    <xf numFmtId="3" fontId="44" fillId="0" borderId="75" xfId="0" applyNumberFormat="1" applyFont="1" applyBorder="1" applyAlignment="1">
      <alignment horizontal="center" wrapText="1"/>
    </xf>
    <xf numFmtId="0" fontId="49" fillId="0" borderId="68" xfId="0" applyFont="1" applyFill="1" applyBorder="1" applyAlignment="1">
      <alignment vertical="center"/>
    </xf>
    <xf numFmtId="0" fontId="49" fillId="0" borderId="42" xfId="0" applyFont="1" applyFill="1" applyBorder="1" applyAlignment="1">
      <alignment vertical="center"/>
    </xf>
    <xf numFmtId="0" fontId="49" fillId="0" borderId="16" xfId="0" applyFont="1" applyFill="1" applyBorder="1" applyAlignment="1">
      <alignment vertical="center"/>
    </xf>
    <xf numFmtId="3" fontId="44" fillId="0" borderId="76" xfId="0" applyNumberFormat="1" applyFont="1" applyBorder="1" applyAlignment="1">
      <alignment horizontal="center" vertical="center" wrapText="1"/>
    </xf>
    <xf numFmtId="3" fontId="44" fillId="0" borderId="77" xfId="0" applyNumberFormat="1" applyFont="1" applyBorder="1" applyAlignment="1">
      <alignment horizontal="center" wrapText="1"/>
    </xf>
    <xf numFmtId="3" fontId="44" fillId="0" borderId="4" xfId="0" applyNumberFormat="1" applyFont="1" applyBorder="1" applyAlignment="1">
      <alignment horizontal="center" vertical="center" wrapText="1"/>
    </xf>
    <xf numFmtId="0" fontId="18" fillId="0" borderId="67" xfId="0" applyFont="1" applyFill="1" applyBorder="1" applyAlignment="1">
      <alignment vertical="center"/>
    </xf>
    <xf numFmtId="0" fontId="48" fillId="0" borderId="16" xfId="0" applyFont="1" applyFill="1" applyBorder="1" applyAlignment="1">
      <alignment vertical="center"/>
    </xf>
    <xf numFmtId="0" fontId="15" fillId="0" borderId="42" xfId="0" applyFont="1" applyFill="1" applyBorder="1" applyAlignment="1">
      <alignment vertical="center"/>
    </xf>
    <xf numFmtId="0" fontId="48" fillId="0" borderId="78" xfId="0" applyFont="1" applyFill="1" applyBorder="1" applyAlignment="1">
      <alignment horizontal="center"/>
    </xf>
    <xf numFmtId="0" fontId="24" fillId="0" borderId="8" xfId="0" applyFont="1" applyFill="1" applyBorder="1" applyAlignment="1">
      <alignment horizontal="right"/>
    </xf>
    <xf numFmtId="0" fontId="8" fillId="0" borderId="7" xfId="0" applyFont="1" applyFill="1" applyBorder="1" applyAlignment="1">
      <alignment horizontal="right"/>
    </xf>
    <xf numFmtId="0" fontId="49" fillId="0" borderId="79" xfId="0" applyFont="1" applyFill="1" applyBorder="1" applyAlignment="1">
      <alignment vertical="center"/>
    </xf>
    <xf numFmtId="0" fontId="49" fillId="0" borderId="80" xfId="0" applyFont="1" applyFill="1" applyBorder="1" applyAlignment="1">
      <alignment vertical="center"/>
    </xf>
    <xf numFmtId="0" fontId="13" fillId="0" borderId="16" xfId="0" applyFont="1" applyFill="1" applyBorder="1" applyAlignment="1">
      <alignment vertical="center"/>
    </xf>
    <xf numFmtId="0" fontId="48" fillId="0" borderId="42" xfId="0" applyFont="1" applyFill="1" applyBorder="1" applyAlignment="1">
      <alignment vertical="center"/>
    </xf>
    <xf numFmtId="3" fontId="44" fillId="0" borderId="78" xfId="0" applyNumberFormat="1" applyFont="1" applyBorder="1" applyAlignment="1">
      <alignment horizontal="center" vertical="center" wrapText="1"/>
    </xf>
    <xf numFmtId="3" fontId="44" fillId="0" borderId="7" xfId="0" applyNumberFormat="1" applyFont="1" applyBorder="1" applyAlignment="1">
      <alignment horizontal="center" vertical="center" wrapText="1"/>
    </xf>
    <xf numFmtId="0" fontId="0" fillId="0" borderId="81" xfId="0" applyBorder="1"/>
    <xf numFmtId="0" fontId="0" fillId="0" borderId="82" xfId="0" applyBorder="1"/>
    <xf numFmtId="0" fontId="0" fillId="0" borderId="83" xfId="0" applyBorder="1"/>
    <xf numFmtId="0" fontId="0" fillId="0" borderId="84" xfId="0" applyBorder="1"/>
    <xf numFmtId="0" fontId="0" fillId="0" borderId="84" xfId="0" applyFill="1" applyBorder="1"/>
    <xf numFmtId="0" fontId="0" fillId="0" borderId="54" xfId="0" applyFill="1" applyBorder="1"/>
    <xf numFmtId="3" fontId="44" fillId="5" borderId="85" xfId="0" applyNumberFormat="1" applyFont="1" applyFill="1" applyBorder="1" applyAlignment="1">
      <alignment horizontal="center" vertical="center" wrapText="1"/>
    </xf>
    <xf numFmtId="0" fontId="67" fillId="5" borderId="86" xfId="0" applyFont="1" applyFill="1" applyBorder="1" applyAlignment="1">
      <alignment horizontal="center" vertical="center"/>
    </xf>
    <xf numFmtId="0" fontId="8" fillId="0" borderId="5" xfId="0" applyFont="1" applyFill="1" applyBorder="1" applyAlignment="1">
      <alignment horizontal="left" vertical="center"/>
    </xf>
    <xf numFmtId="0" fontId="40" fillId="0" borderId="89" xfId="0" applyFont="1" applyFill="1" applyBorder="1"/>
    <xf numFmtId="49" fontId="20" fillId="3" borderId="90" xfId="0" applyNumberFormat="1" applyFont="1" applyFill="1" applyBorder="1" applyAlignment="1">
      <alignment horizontal="center" vertical="center"/>
    </xf>
    <xf numFmtId="3" fontId="46" fillId="0" borderId="0" xfId="0" applyNumberFormat="1" applyFont="1" applyBorder="1" applyAlignment="1">
      <alignment horizontal="center" vertical="center"/>
    </xf>
    <xf numFmtId="0" fontId="37" fillId="0" borderId="2" xfId="0" applyFont="1" applyFill="1" applyBorder="1"/>
    <xf numFmtId="0" fontId="23" fillId="2" borderId="0" xfId="0" applyFont="1" applyFill="1" applyBorder="1" applyAlignment="1">
      <alignment horizontal="left"/>
    </xf>
    <xf numFmtId="0" fontId="23" fillId="2" borderId="0" xfId="0" applyFont="1" applyFill="1" applyBorder="1" applyAlignment="1"/>
    <xf numFmtId="0" fontId="26" fillId="2" borderId="0" xfId="0" applyFont="1" applyFill="1" applyBorder="1" applyAlignment="1"/>
    <xf numFmtId="0" fontId="5" fillId="0" borderId="9" xfId="0" applyFont="1" applyBorder="1"/>
    <xf numFmtId="0" fontId="18" fillId="0" borderId="0" xfId="0" applyFont="1" applyBorder="1" applyAlignment="1">
      <alignment horizontal="center" vertical="center"/>
    </xf>
    <xf numFmtId="0" fontId="18" fillId="0" borderId="0" xfId="0" applyFont="1" applyFill="1" applyBorder="1" applyAlignment="1">
      <alignment vertical="center"/>
    </xf>
    <xf numFmtId="0" fontId="10" fillId="0" borderId="0" xfId="0" applyFont="1" applyFill="1" applyBorder="1" applyAlignment="1">
      <alignment vertical="center"/>
    </xf>
    <xf numFmtId="0" fontId="26" fillId="2" borderId="0" xfId="0" applyFont="1" applyFill="1" applyBorder="1" applyAlignment="1">
      <alignment horizontal="left"/>
    </xf>
    <xf numFmtId="0" fontId="13" fillId="0" borderId="0" xfId="0" applyFont="1" applyBorder="1" applyAlignment="1">
      <alignment horizontal="left" vertical="center"/>
    </xf>
    <xf numFmtId="0" fontId="18" fillId="0" borderId="0" xfId="0" applyFont="1" applyFill="1" applyBorder="1" applyAlignment="1">
      <alignment horizontal="left" vertical="center"/>
    </xf>
    <xf numFmtId="0" fontId="13" fillId="2" borderId="4" xfId="0" applyFont="1" applyFill="1" applyBorder="1" applyAlignment="1">
      <alignment vertical="center"/>
    </xf>
    <xf numFmtId="0" fontId="10" fillId="2" borderId="0" xfId="0" applyFont="1" applyFill="1" applyBorder="1" applyAlignment="1">
      <alignment vertical="center"/>
    </xf>
    <xf numFmtId="0" fontId="37" fillId="2" borderId="0" xfId="0" applyFont="1" applyFill="1" applyBorder="1" applyAlignment="1"/>
    <xf numFmtId="0" fontId="37" fillId="2" borderId="0" xfId="0" applyFont="1" applyFill="1" applyBorder="1" applyAlignment="1">
      <alignment horizontal="left"/>
    </xf>
    <xf numFmtId="0" fontId="23" fillId="0" borderId="12" xfId="0" applyFont="1" applyFill="1" applyBorder="1" applyAlignment="1"/>
    <xf numFmtId="0" fontId="26" fillId="0" borderId="12" xfId="0" applyFont="1" applyFill="1" applyBorder="1" applyAlignment="1"/>
    <xf numFmtId="0" fontId="58" fillId="0" borderId="12" xfId="0" applyFont="1" applyFill="1" applyBorder="1"/>
    <xf numFmtId="0" fontId="64" fillId="0" borderId="5" xfId="0" applyFont="1" applyFill="1" applyBorder="1"/>
    <xf numFmtId="0" fontId="23" fillId="2" borderId="2" xfId="0" applyFont="1" applyFill="1" applyBorder="1" applyAlignment="1"/>
    <xf numFmtId="0" fontId="65" fillId="0" borderId="7" xfId="0" applyFont="1" applyFill="1" applyBorder="1"/>
    <xf numFmtId="0" fontId="64" fillId="0" borderId="11" xfId="0" applyFont="1" applyFill="1" applyBorder="1"/>
    <xf numFmtId="0" fontId="23" fillId="0" borderId="10" xfId="0" applyFont="1" applyFill="1" applyBorder="1" applyAlignment="1"/>
    <xf numFmtId="0" fontId="23" fillId="3" borderId="0" xfId="0" applyFont="1" applyFill="1" applyBorder="1" applyAlignment="1">
      <alignment vertical="center"/>
    </xf>
    <xf numFmtId="0" fontId="0" fillId="3" borderId="0" xfId="0" applyFill="1" applyBorder="1" applyAlignment="1">
      <alignment vertical="center"/>
    </xf>
    <xf numFmtId="0" fontId="37" fillId="2" borderId="85" xfId="0" applyFont="1" applyFill="1" applyBorder="1" applyAlignment="1">
      <alignment vertical="center"/>
    </xf>
    <xf numFmtId="0" fontId="0" fillId="0" borderId="85" xfId="0" applyFill="1" applyBorder="1" applyAlignment="1">
      <alignment vertical="center"/>
    </xf>
    <xf numFmtId="0" fontId="23" fillId="2" borderId="85" xfId="0" applyFont="1" applyFill="1" applyBorder="1" applyAlignment="1">
      <alignment vertical="center"/>
    </xf>
    <xf numFmtId="0" fontId="37" fillId="2" borderId="91" xfId="0" applyFont="1" applyFill="1" applyBorder="1" applyAlignment="1">
      <alignment vertical="center"/>
    </xf>
    <xf numFmtId="0" fontId="0" fillId="0" borderId="91" xfId="0" applyFill="1" applyBorder="1" applyAlignment="1">
      <alignment vertical="center"/>
    </xf>
    <xf numFmtId="0" fontId="37" fillId="2" borderId="91" xfId="0" applyFont="1" applyFill="1" applyBorder="1" applyAlignment="1">
      <alignment horizontal="left" vertical="center"/>
    </xf>
    <xf numFmtId="0" fontId="37" fillId="0" borderId="85" xfId="0" applyFont="1" applyFill="1" applyBorder="1" applyAlignment="1">
      <alignment vertical="center"/>
    </xf>
    <xf numFmtId="0" fontId="13" fillId="2" borderId="0" xfId="0" applyFont="1" applyFill="1" applyBorder="1" applyAlignment="1">
      <alignment horizontal="left" vertical="center"/>
    </xf>
    <xf numFmtId="3" fontId="46" fillId="2" borderId="9" xfId="0" applyNumberFormat="1" applyFont="1" applyFill="1" applyBorder="1" applyAlignment="1">
      <alignment horizontal="center" vertical="center"/>
    </xf>
    <xf numFmtId="0" fontId="18" fillId="2" borderId="0" xfId="0" applyFont="1" applyFill="1" applyBorder="1" applyAlignment="1">
      <alignment horizontal="center" vertical="center"/>
    </xf>
    <xf numFmtId="0" fontId="18" fillId="2" borderId="0" xfId="0" applyFont="1" applyFill="1" applyBorder="1" applyAlignment="1">
      <alignment horizontal="left" vertical="center"/>
    </xf>
    <xf numFmtId="0" fontId="1" fillId="2" borderId="5" xfId="0" applyFont="1" applyFill="1" applyBorder="1" applyAlignment="1">
      <alignment vertical="center"/>
    </xf>
    <xf numFmtId="3" fontId="46" fillId="2" borderId="0" xfId="0" applyNumberFormat="1" applyFont="1" applyFill="1" applyBorder="1" applyAlignment="1">
      <alignment horizontal="center" vertical="center"/>
    </xf>
    <xf numFmtId="0" fontId="13" fillId="2" borderId="5" xfId="0" applyFont="1" applyFill="1" applyBorder="1" applyAlignment="1">
      <alignment vertical="center"/>
    </xf>
    <xf numFmtId="0" fontId="1" fillId="0" borderId="6" xfId="1" applyFont="1" applyBorder="1" applyAlignment="1" applyProtection="1"/>
    <xf numFmtId="0" fontId="38" fillId="2" borderId="0" xfId="0" applyFont="1" applyFill="1" applyBorder="1" applyAlignment="1">
      <alignment horizontal="left"/>
    </xf>
    <xf numFmtId="0" fontId="38" fillId="2" borderId="0" xfId="0" applyFont="1" applyFill="1" applyBorder="1" applyAlignment="1">
      <alignment vertical="center"/>
    </xf>
    <xf numFmtId="0" fontId="26" fillId="2" borderId="0" xfId="0" applyFont="1" applyFill="1" applyBorder="1" applyAlignment="1">
      <alignment horizontal="left" vertical="center"/>
    </xf>
    <xf numFmtId="0" fontId="2" fillId="2" borderId="0" xfId="1" applyFont="1" applyFill="1" applyBorder="1" applyAlignment="1" applyProtection="1"/>
    <xf numFmtId="0" fontId="2" fillId="2" borderId="92" xfId="1" applyFont="1" applyFill="1" applyBorder="1" applyAlignment="1" applyProtection="1"/>
    <xf numFmtId="0" fontId="10" fillId="2" borderId="92" xfId="0" applyFont="1" applyFill="1" applyBorder="1" applyAlignment="1">
      <alignment vertical="center"/>
    </xf>
    <xf numFmtId="0" fontId="37" fillId="0" borderId="92" xfId="0" applyFont="1" applyFill="1" applyBorder="1"/>
    <xf numFmtId="0" fontId="2" fillId="2" borderId="93" xfId="1" applyFont="1" applyFill="1" applyBorder="1" applyAlignment="1" applyProtection="1"/>
    <xf numFmtId="0" fontId="2" fillId="2" borderId="94" xfId="1" applyFont="1" applyFill="1" applyBorder="1" applyAlignment="1" applyProtection="1"/>
    <xf numFmtId="0" fontId="2" fillId="2" borderId="95" xfId="1" applyFont="1" applyFill="1" applyBorder="1" applyAlignment="1" applyProtection="1"/>
    <xf numFmtId="0" fontId="10" fillId="2" borderId="95" xfId="0" applyFont="1" applyFill="1" applyBorder="1" applyAlignment="1">
      <alignment vertical="center"/>
    </xf>
    <xf numFmtId="0" fontId="2" fillId="2" borderId="96" xfId="1" applyFont="1" applyFill="1" applyBorder="1" applyAlignment="1" applyProtection="1"/>
    <xf numFmtId="0" fontId="23" fillId="2" borderId="0" xfId="0" applyFont="1" applyFill="1" applyBorder="1" applyAlignment="1">
      <alignment horizontal="left" vertical="center"/>
    </xf>
    <xf numFmtId="0" fontId="37" fillId="2" borderId="0" xfId="0" applyFont="1" applyFill="1" applyBorder="1"/>
    <xf numFmtId="0" fontId="0" fillId="2" borderId="12" xfId="0" applyFill="1" applyBorder="1"/>
    <xf numFmtId="0" fontId="85" fillId="2" borderId="0" xfId="0" applyFont="1" applyFill="1" applyBorder="1"/>
    <xf numFmtId="0" fontId="10" fillId="0" borderId="9" xfId="0" applyFont="1" applyFill="1" applyBorder="1" applyAlignment="1">
      <alignment vertical="center"/>
    </xf>
    <xf numFmtId="0" fontId="2" fillId="2" borderId="0" xfId="0" applyFont="1" applyFill="1" applyBorder="1" applyAlignment="1">
      <alignment vertical="center"/>
    </xf>
    <xf numFmtId="0" fontId="10" fillId="2" borderId="3" xfId="0" applyFont="1" applyFill="1" applyBorder="1" applyAlignment="1">
      <alignment vertical="center"/>
    </xf>
    <xf numFmtId="3" fontId="86" fillId="2" borderId="0" xfId="1" applyNumberFormat="1" applyFont="1" applyFill="1" applyBorder="1" applyAlignment="1" applyProtection="1">
      <alignment horizontal="center" vertical="center"/>
    </xf>
    <xf numFmtId="0" fontId="23" fillId="2" borderId="6" xfId="0" applyFont="1" applyFill="1" applyBorder="1" applyAlignment="1"/>
    <xf numFmtId="0" fontId="26" fillId="2" borderId="2" xfId="0" applyFont="1" applyFill="1" applyBorder="1" applyAlignment="1"/>
    <xf numFmtId="0" fontId="23" fillId="2" borderId="4" xfId="0" applyFont="1" applyFill="1" applyBorder="1" applyAlignment="1"/>
    <xf numFmtId="0" fontId="37" fillId="0" borderId="76" xfId="0" applyFont="1" applyFill="1" applyBorder="1"/>
    <xf numFmtId="0" fontId="2" fillId="0" borderId="0" xfId="0" applyFont="1" applyFill="1" applyBorder="1" applyAlignment="1">
      <alignment vertical="center"/>
    </xf>
    <xf numFmtId="0" fontId="79" fillId="0" borderId="0" xfId="0" applyFont="1" applyFill="1" applyBorder="1" applyAlignment="1">
      <alignment vertical="center"/>
    </xf>
    <xf numFmtId="0" fontId="31" fillId="2" borderId="0" xfId="1" applyFont="1" applyFill="1" applyBorder="1" applyAlignment="1" applyProtection="1"/>
    <xf numFmtId="0" fontId="1" fillId="2" borderId="0" xfId="0" applyFont="1" applyFill="1" applyBorder="1" applyAlignment="1">
      <alignment horizontal="left"/>
    </xf>
    <xf numFmtId="0" fontId="2" fillId="2" borderId="0" xfId="0" applyFont="1" applyFill="1" applyBorder="1"/>
    <xf numFmtId="0" fontId="2" fillId="0" borderId="12" xfId="0" applyFont="1" applyFill="1" applyBorder="1"/>
    <xf numFmtId="0" fontId="81" fillId="2" borderId="0" xfId="0" applyFont="1" applyFill="1" applyBorder="1"/>
    <xf numFmtId="0" fontId="87" fillId="3" borderId="97" xfId="0" applyFont="1" applyFill="1" applyBorder="1" applyAlignment="1">
      <alignment horizontal="center" vertical="center" wrapText="1"/>
    </xf>
    <xf numFmtId="0" fontId="87" fillId="3" borderId="98" xfId="0" applyFont="1" applyFill="1" applyBorder="1" applyAlignment="1">
      <alignment horizontal="center" vertical="center" wrapText="1"/>
    </xf>
    <xf numFmtId="0" fontId="87" fillId="3" borderId="97" xfId="0" applyFont="1" applyFill="1" applyBorder="1" applyAlignment="1">
      <alignment horizontal="center" vertical="center"/>
    </xf>
    <xf numFmtId="0" fontId="87" fillId="3" borderId="98" xfId="0" applyFont="1" applyFill="1" applyBorder="1" applyAlignment="1">
      <alignment horizontal="center" vertical="center"/>
    </xf>
    <xf numFmtId="0" fontId="87" fillId="3" borderId="44" xfId="0" applyFont="1" applyFill="1" applyBorder="1" applyAlignment="1">
      <alignment horizontal="center" vertical="center"/>
    </xf>
    <xf numFmtId="0" fontId="87" fillId="3" borderId="99" xfId="0" applyFont="1" applyFill="1" applyBorder="1" applyAlignment="1">
      <alignment horizontal="center" vertical="center"/>
    </xf>
    <xf numFmtId="3" fontId="34" fillId="0" borderId="0" xfId="0" applyNumberFormat="1" applyFont="1" applyFill="1" applyBorder="1" applyAlignment="1">
      <alignment horizontal="left" vertical="center"/>
    </xf>
    <xf numFmtId="0" fontId="59" fillId="3" borderId="46" xfId="0" applyFont="1" applyFill="1" applyBorder="1" applyAlignment="1">
      <alignment horizontal="left" vertical="center"/>
    </xf>
    <xf numFmtId="0" fontId="0" fillId="2" borderId="41" xfId="0" applyFill="1" applyBorder="1"/>
    <xf numFmtId="0" fontId="87" fillId="2" borderId="41" xfId="0" applyFont="1" applyFill="1" applyBorder="1" applyAlignment="1">
      <alignment horizontal="left" vertical="center" wrapText="1"/>
    </xf>
    <xf numFmtId="0" fontId="11" fillId="0" borderId="41" xfId="0" applyFont="1" applyFill="1" applyBorder="1" applyAlignment="1">
      <alignment horizontal="left" vertical="center"/>
    </xf>
    <xf numFmtId="0" fontId="11" fillId="0" borderId="51" xfId="0" applyFont="1" applyFill="1" applyBorder="1" applyAlignment="1">
      <alignment horizontal="left" vertical="center"/>
    </xf>
    <xf numFmtId="0" fontId="1" fillId="0" borderId="41" xfId="0" applyFont="1" applyFill="1" applyBorder="1" applyAlignment="1">
      <alignment horizontal="center" vertical="center"/>
    </xf>
    <xf numFmtId="3" fontId="74" fillId="5" borderId="100" xfId="0" applyNumberFormat="1" applyFont="1" applyFill="1" applyBorder="1" applyAlignment="1">
      <alignment horizontal="center" vertical="center"/>
    </xf>
    <xf numFmtId="3" fontId="74" fillId="5" borderId="101" xfId="0" applyNumberFormat="1" applyFont="1" applyFill="1" applyBorder="1" applyAlignment="1">
      <alignment horizontal="center" vertical="center"/>
    </xf>
    <xf numFmtId="0" fontId="11" fillId="0" borderId="44" xfId="0" applyFont="1" applyFill="1" applyBorder="1" applyAlignment="1">
      <alignment horizontal="left" vertical="center"/>
    </xf>
    <xf numFmtId="0" fontId="67" fillId="5" borderId="102" xfId="0" applyFont="1" applyFill="1" applyBorder="1" applyAlignment="1">
      <alignment horizontal="center" vertical="center"/>
    </xf>
    <xf numFmtId="0" fontId="67" fillId="5" borderId="44" xfId="0" applyFont="1" applyFill="1" applyBorder="1" applyAlignment="1">
      <alignment horizontal="center"/>
    </xf>
    <xf numFmtId="0" fontId="50" fillId="5" borderId="103" xfId="0" applyFont="1" applyFill="1" applyBorder="1" applyAlignment="1">
      <alignment horizontal="center" vertical="center"/>
    </xf>
    <xf numFmtId="0" fontId="50" fillId="5" borderId="104" xfId="0" applyFont="1" applyFill="1" applyBorder="1" applyAlignment="1">
      <alignment horizontal="center" vertical="center"/>
    </xf>
    <xf numFmtId="0" fontId="50" fillId="5" borderId="105" xfId="0" applyFont="1" applyFill="1" applyBorder="1" applyAlignment="1">
      <alignment horizontal="center" vertical="center"/>
    </xf>
    <xf numFmtId="0" fontId="50" fillId="5" borderId="106" xfId="0" applyFont="1" applyFill="1" applyBorder="1" applyAlignment="1">
      <alignment horizontal="center" vertical="center"/>
    </xf>
    <xf numFmtId="3" fontId="74" fillId="5" borderId="107" xfId="0" applyNumberFormat="1" applyFont="1" applyFill="1" applyBorder="1" applyAlignment="1">
      <alignment horizontal="center" vertical="center"/>
    </xf>
    <xf numFmtId="3" fontId="74" fillId="5" borderId="108" xfId="0" applyNumberFormat="1" applyFont="1" applyFill="1" applyBorder="1" applyAlignment="1">
      <alignment horizontal="center" vertical="center"/>
    </xf>
    <xf numFmtId="3" fontId="74" fillId="5" borderId="109" xfId="0" applyNumberFormat="1" applyFont="1" applyFill="1" applyBorder="1" applyAlignment="1">
      <alignment horizontal="center" vertical="center"/>
    </xf>
    <xf numFmtId="0" fontId="1" fillId="0" borderId="110" xfId="0" applyFont="1" applyFill="1" applyBorder="1" applyAlignment="1">
      <alignment horizontal="center" vertical="center"/>
    </xf>
    <xf numFmtId="0" fontId="11" fillId="0" borderId="111" xfId="0" applyFont="1" applyFill="1" applyBorder="1" applyAlignment="1">
      <alignment horizontal="left" vertical="center"/>
    </xf>
    <xf numFmtId="0" fontId="11" fillId="0" borderId="112" xfId="0" applyFont="1" applyFill="1" applyBorder="1" applyAlignment="1">
      <alignment horizontal="left" vertical="center"/>
    </xf>
    <xf numFmtId="0" fontId="1" fillId="0" borderId="111" xfId="0" applyFont="1" applyFill="1" applyBorder="1" applyAlignment="1">
      <alignment horizontal="center" vertical="center"/>
    </xf>
    <xf numFmtId="0" fontId="38" fillId="0" borderId="113" xfId="0" applyFont="1" applyFill="1" applyBorder="1" applyAlignment="1">
      <alignment horizontal="center" vertical="center"/>
    </xf>
    <xf numFmtId="0" fontId="15" fillId="0" borderId="111" xfId="0" applyFont="1" applyFill="1" applyBorder="1" applyAlignment="1">
      <alignment vertical="center"/>
    </xf>
    <xf numFmtId="0" fontId="4" fillId="5" borderId="91" xfId="0" applyFont="1" applyFill="1" applyBorder="1" applyAlignment="1">
      <alignment horizontal="center" vertical="center"/>
    </xf>
    <xf numFmtId="3" fontId="44" fillId="5" borderId="91" xfId="0" applyNumberFormat="1" applyFont="1" applyFill="1" applyBorder="1" applyAlignment="1">
      <alignment horizontal="center" vertical="center" wrapText="1"/>
    </xf>
    <xf numFmtId="0" fontId="13" fillId="5" borderId="114" xfId="0" applyFont="1" applyFill="1" applyBorder="1" applyAlignment="1">
      <alignment vertical="center"/>
    </xf>
    <xf numFmtId="3" fontId="32" fillId="5" borderId="115" xfId="0" applyNumberFormat="1" applyFont="1" applyFill="1" applyBorder="1" applyAlignment="1">
      <alignment horizontal="center" vertical="center"/>
    </xf>
    <xf numFmtId="3" fontId="74" fillId="5" borderId="111" xfId="0" applyNumberFormat="1" applyFont="1" applyFill="1" applyBorder="1" applyAlignment="1">
      <alignment horizontal="center" vertical="center"/>
    </xf>
    <xf numFmtId="0" fontId="48" fillId="2" borderId="16" xfId="0" applyFont="1" applyFill="1" applyBorder="1" applyAlignment="1">
      <alignment horizontal="left"/>
    </xf>
    <xf numFmtId="0" fontId="7" fillId="2" borderId="60" xfId="0" applyFont="1" applyFill="1" applyBorder="1" applyAlignment="1">
      <alignment horizontal="left" vertical="center"/>
    </xf>
    <xf numFmtId="0" fontId="20" fillId="2" borderId="0" xfId="0" applyFont="1" applyFill="1" applyBorder="1" applyAlignment="1">
      <alignment horizontal="left" vertical="center"/>
    </xf>
    <xf numFmtId="0" fontId="7" fillId="2" borderId="44" xfId="0" applyFont="1" applyFill="1" applyBorder="1" applyAlignment="1">
      <alignment horizontal="left" vertical="center"/>
    </xf>
    <xf numFmtId="0" fontId="31" fillId="0" borderId="0" xfId="1" applyFont="1" applyFill="1" applyBorder="1" applyAlignment="1" applyProtection="1">
      <alignment horizontal="left"/>
    </xf>
    <xf numFmtId="0" fontId="67" fillId="5" borderId="116" xfId="0" applyFont="1" applyFill="1" applyBorder="1" applyAlignment="1">
      <alignment horizontal="center"/>
    </xf>
    <xf numFmtId="0" fontId="38" fillId="3" borderId="111" xfId="0" applyFont="1" applyFill="1" applyBorder="1" applyAlignment="1">
      <alignment horizontal="center" vertical="center"/>
    </xf>
    <xf numFmtId="0" fontId="22" fillId="0" borderId="117" xfId="0" applyFont="1" applyFill="1" applyBorder="1"/>
    <xf numFmtId="0" fontId="4" fillId="5" borderId="118" xfId="0" applyFont="1" applyFill="1" applyBorder="1" applyAlignment="1">
      <alignment horizontal="center" vertical="center"/>
    </xf>
    <xf numFmtId="0" fontId="1" fillId="3" borderId="97" xfId="0" applyFont="1" applyFill="1" applyBorder="1" applyAlignment="1">
      <alignment horizontal="center"/>
    </xf>
    <xf numFmtId="0" fontId="48" fillId="0" borderId="119" xfId="0" applyFont="1" applyFill="1" applyBorder="1" applyAlignment="1">
      <alignment horizontal="left"/>
    </xf>
    <xf numFmtId="0" fontId="8" fillId="0" borderId="6" xfId="0" applyFont="1" applyFill="1" applyBorder="1" applyAlignment="1">
      <alignment horizontal="center"/>
    </xf>
    <xf numFmtId="0" fontId="48" fillId="0" borderId="120" xfId="0" applyFont="1" applyFill="1" applyBorder="1" applyAlignment="1">
      <alignment horizontal="left"/>
    </xf>
    <xf numFmtId="0" fontId="8" fillId="0" borderId="121" xfId="0" applyFont="1" applyFill="1" applyBorder="1" applyAlignment="1">
      <alignment horizontal="center"/>
    </xf>
    <xf numFmtId="0" fontId="68" fillId="0" borderId="122" xfId="0" applyFont="1" applyFill="1" applyBorder="1" applyAlignment="1">
      <alignment horizontal="left" vertical="center"/>
    </xf>
    <xf numFmtId="0" fontId="41" fillId="5" borderId="91" xfId="0" applyFont="1" applyFill="1" applyBorder="1" applyAlignment="1">
      <alignment horizontal="left" vertical="center"/>
    </xf>
    <xf numFmtId="3" fontId="69" fillId="0" borderId="120" xfId="0" applyNumberFormat="1" applyFont="1" applyFill="1" applyBorder="1" applyAlignment="1">
      <alignment horizontal="center" vertical="center" wrapText="1"/>
    </xf>
    <xf numFmtId="0" fontId="68" fillId="0" borderId="119" xfId="0" applyFont="1" applyFill="1" applyBorder="1" applyAlignment="1">
      <alignment horizontal="left" vertical="center"/>
    </xf>
    <xf numFmtId="0" fontId="68" fillId="0" borderId="123" xfId="0" applyFont="1" applyFill="1" applyBorder="1" applyAlignment="1">
      <alignment horizontal="left" vertical="center"/>
    </xf>
    <xf numFmtId="0" fontId="49" fillId="0" borderId="119" xfId="0" applyFont="1" applyFill="1" applyBorder="1" applyAlignment="1">
      <alignment vertical="center"/>
    </xf>
    <xf numFmtId="3" fontId="69" fillId="0" borderId="124" xfId="0" applyNumberFormat="1" applyFont="1" applyFill="1" applyBorder="1" applyAlignment="1">
      <alignment horizontal="center" vertical="center" wrapText="1"/>
    </xf>
    <xf numFmtId="0" fontId="49" fillId="0" borderId="123" xfId="0" applyFont="1" applyFill="1" applyBorder="1" applyAlignment="1">
      <alignment vertical="center"/>
    </xf>
    <xf numFmtId="0" fontId="41" fillId="5" borderId="125" xfId="0" applyFont="1" applyFill="1" applyBorder="1" applyAlignment="1">
      <alignment horizontal="left" vertical="center"/>
    </xf>
    <xf numFmtId="0" fontId="40" fillId="5" borderId="91" xfId="0" applyFont="1" applyFill="1" applyBorder="1" applyAlignment="1">
      <alignment horizontal="center" vertical="center" wrapText="1"/>
    </xf>
    <xf numFmtId="0" fontId="39" fillId="5" borderId="91" xfId="0" applyFont="1" applyFill="1" applyBorder="1"/>
    <xf numFmtId="0" fontId="39" fillId="5" borderId="114" xfId="0" applyFont="1" applyFill="1" applyBorder="1"/>
    <xf numFmtId="0" fontId="10" fillId="0" borderId="8" xfId="0" applyFont="1" applyBorder="1"/>
    <xf numFmtId="0" fontId="10" fillId="0" borderId="4" xfId="0" applyFont="1" applyBorder="1"/>
    <xf numFmtId="0" fontId="34" fillId="3" borderId="126" xfId="0" applyFont="1" applyFill="1" applyBorder="1" applyAlignment="1">
      <alignment vertical="center"/>
    </xf>
    <xf numFmtId="0" fontId="38" fillId="3" borderId="126" xfId="0" applyFont="1" applyFill="1" applyBorder="1" applyAlignment="1">
      <alignment horizontal="left"/>
    </xf>
    <xf numFmtId="0" fontId="38" fillId="3" borderId="127" xfId="0" applyFont="1" applyFill="1" applyBorder="1" applyAlignment="1">
      <alignment horizontal="left"/>
    </xf>
    <xf numFmtId="0" fontId="20" fillId="3" borderId="126" xfId="0" applyFont="1" applyFill="1" applyBorder="1" applyAlignment="1">
      <alignment horizontal="left"/>
    </xf>
    <xf numFmtId="0" fontId="20" fillId="3" borderId="127" xfId="0" applyFont="1" applyFill="1" applyBorder="1" applyAlignment="1">
      <alignment horizontal="left"/>
    </xf>
    <xf numFmtId="3" fontId="46" fillId="0" borderId="0" xfId="0" applyNumberFormat="1" applyFont="1" applyFill="1" applyBorder="1" applyAlignment="1">
      <alignment horizontal="center" vertical="center"/>
    </xf>
    <xf numFmtId="0" fontId="0" fillId="2" borderId="0" xfId="0" applyFill="1" applyAlignment="1"/>
    <xf numFmtId="0" fontId="92" fillId="3" borderId="0" xfId="0" applyFont="1" applyFill="1" applyBorder="1"/>
    <xf numFmtId="0" fontId="93" fillId="3" borderId="0" xfId="0" applyFont="1" applyFill="1" applyBorder="1"/>
    <xf numFmtId="3" fontId="95" fillId="3" borderId="0" xfId="0" applyNumberFormat="1" applyFont="1" applyFill="1" applyBorder="1" applyAlignment="1">
      <alignment horizontal="left" vertical="center"/>
    </xf>
    <xf numFmtId="3" fontId="96" fillId="3" borderId="0" xfId="0" applyNumberFormat="1" applyFont="1" applyFill="1" applyBorder="1" applyAlignment="1">
      <alignment horizontal="left" vertical="center"/>
    </xf>
    <xf numFmtId="0" fontId="0" fillId="3" borderId="0" xfId="0" applyFill="1" applyBorder="1" applyAlignment="1"/>
    <xf numFmtId="0" fontId="0" fillId="3" borderId="0" xfId="0" applyFill="1" applyAlignment="1"/>
    <xf numFmtId="0" fontId="93" fillId="3" borderId="0" xfId="0" applyFont="1" applyFill="1" applyBorder="1" applyAlignment="1"/>
    <xf numFmtId="0" fontId="93" fillId="3" borderId="0" xfId="0" applyFont="1" applyFill="1" applyAlignment="1"/>
    <xf numFmtId="0" fontId="94" fillId="3" borderId="0" xfId="0" applyFont="1" applyFill="1" applyBorder="1" applyAlignment="1">
      <alignment horizontal="left" vertical="center"/>
    </xf>
    <xf numFmtId="3" fontId="91" fillId="3" borderId="0" xfId="0" applyNumberFormat="1" applyFont="1" applyFill="1" applyBorder="1" applyAlignment="1">
      <alignment horizontal="left" vertical="center"/>
    </xf>
    <xf numFmtId="3" fontId="91" fillId="2" borderId="0" xfId="0" applyNumberFormat="1" applyFont="1" applyFill="1" applyBorder="1" applyAlignment="1">
      <alignment horizontal="left" vertical="center"/>
    </xf>
    <xf numFmtId="0" fontId="13" fillId="2" borderId="0" xfId="0" applyFont="1" applyFill="1" applyBorder="1" applyAlignment="1">
      <alignment vertical="center" wrapText="1"/>
    </xf>
    <xf numFmtId="0" fontId="0" fillId="2" borderId="0" xfId="0" applyFill="1" applyBorder="1" applyAlignment="1">
      <alignment wrapText="1"/>
    </xf>
    <xf numFmtId="0" fontId="49" fillId="2" borderId="60" xfId="0" applyFont="1" applyFill="1" applyBorder="1" applyAlignment="1">
      <alignment horizontal="center" vertical="center" wrapText="1"/>
    </xf>
    <xf numFmtId="0" fontId="0" fillId="2" borderId="41" xfId="0" applyFill="1" applyBorder="1" applyAlignment="1">
      <alignment horizontal="center" vertical="center" wrapText="1"/>
    </xf>
    <xf numFmtId="0" fontId="15" fillId="2" borderId="60" xfId="0" applyFont="1" applyFill="1" applyBorder="1" applyAlignment="1">
      <alignment horizontal="center" vertical="center" wrapText="1"/>
    </xf>
    <xf numFmtId="0" fontId="0" fillId="0" borderId="0" xfId="0" applyBorder="1" applyAlignment="1">
      <alignment vertical="center"/>
    </xf>
    <xf numFmtId="0" fontId="48" fillId="2" borderId="0" xfId="0" applyFont="1" applyFill="1" applyBorder="1" applyAlignment="1">
      <alignment vertical="center"/>
    </xf>
    <xf numFmtId="0" fontId="0" fillId="2" borderId="0" xfId="0" applyFill="1" applyBorder="1" applyAlignment="1">
      <alignment vertical="center"/>
    </xf>
    <xf numFmtId="0" fontId="15" fillId="2" borderId="0" xfId="0" applyFont="1" applyFill="1" applyBorder="1" applyAlignment="1">
      <alignment vertical="center"/>
    </xf>
    <xf numFmtId="0" fontId="23" fillId="0" borderId="0" xfId="0" applyFont="1" applyFill="1" applyBorder="1" applyAlignment="1"/>
    <xf numFmtId="0" fontId="37" fillId="0" borderId="0" xfId="0" applyFont="1" applyFill="1" applyBorder="1" applyAlignment="1"/>
    <xf numFmtId="0" fontId="0" fillId="0" borderId="15" xfId="0" applyBorder="1" applyAlignment="1">
      <alignment vertical="center"/>
    </xf>
    <xf numFmtId="0" fontId="23" fillId="3" borderId="0" xfId="0" applyFont="1" applyFill="1" applyBorder="1" applyAlignment="1"/>
    <xf numFmtId="0" fontId="37" fillId="3" borderId="0" xfId="0" applyFont="1" applyFill="1" applyBorder="1" applyAlignment="1"/>
    <xf numFmtId="0" fontId="0" fillId="4" borderId="0" xfId="0" applyFill="1" applyBorder="1" applyAlignment="1"/>
    <xf numFmtId="0" fontId="37" fillId="4" borderId="0" xfId="0" applyFont="1" applyFill="1" applyBorder="1" applyAlignment="1"/>
    <xf numFmtId="0" fontId="23" fillId="4" borderId="0" xfId="0" applyFont="1" applyFill="1" applyBorder="1" applyAlignment="1"/>
    <xf numFmtId="0" fontId="20" fillId="4" borderId="0" xfId="0" applyFont="1" applyFill="1" applyBorder="1" applyAlignment="1">
      <alignment vertical="center"/>
    </xf>
    <xf numFmtId="0" fontId="88" fillId="2" borderId="0" xfId="0" applyFont="1" applyFill="1" applyBorder="1" applyAlignment="1">
      <alignment horizontal="center" vertical="center"/>
    </xf>
    <xf numFmtId="0" fontId="20" fillId="2" borderId="0" xfId="0" applyFont="1" applyFill="1" applyBorder="1" applyAlignment="1">
      <alignment vertical="center"/>
    </xf>
    <xf numFmtId="0" fontId="0" fillId="2" borderId="0" xfId="0" applyFill="1" applyBorder="1" applyAlignment="1"/>
    <xf numFmtId="3" fontId="55" fillId="2" borderId="0" xfId="0" applyNumberFormat="1" applyFont="1" applyFill="1" applyBorder="1" applyAlignment="1">
      <alignment horizontal="center" vertical="center" wrapText="1"/>
    </xf>
    <xf numFmtId="0" fontId="98" fillId="2" borderId="0" xfId="0" applyFont="1" applyFill="1" applyBorder="1"/>
    <xf numFmtId="0" fontId="1" fillId="2" borderId="0" xfId="0" applyFont="1" applyFill="1" applyBorder="1" applyAlignment="1">
      <alignment vertical="center"/>
    </xf>
    <xf numFmtId="0" fontId="23" fillId="2" borderId="85" xfId="0" applyFont="1" applyFill="1" applyBorder="1" applyAlignment="1"/>
    <xf numFmtId="0" fontId="37" fillId="2" borderId="91" xfId="0" applyFont="1" applyFill="1" applyBorder="1" applyAlignment="1"/>
    <xf numFmtId="0" fontId="101" fillId="2" borderId="0" xfId="0" applyFont="1" applyFill="1" applyBorder="1" applyAlignment="1"/>
    <xf numFmtId="0" fontId="0" fillId="2" borderId="0" xfId="0" applyFill="1" applyBorder="1" applyAlignment="1">
      <alignment vertical="center" wrapText="1"/>
    </xf>
    <xf numFmtId="0" fontId="66" fillId="2" borderId="0" xfId="0" applyFont="1" applyFill="1" applyBorder="1" applyAlignment="1">
      <alignment vertical="center"/>
    </xf>
    <xf numFmtId="0" fontId="35" fillId="2" borderId="0" xfId="0" applyFont="1" applyFill="1" applyBorder="1" applyAlignment="1">
      <alignment horizontal="center" vertical="center"/>
    </xf>
    <xf numFmtId="0" fontId="23" fillId="2" borderId="12" xfId="0" applyFont="1" applyFill="1" applyBorder="1" applyAlignment="1"/>
    <xf numFmtId="0" fontId="62" fillId="2" borderId="0" xfId="0" applyFont="1" applyFill="1" applyBorder="1" applyAlignment="1"/>
    <xf numFmtId="0" fontId="100" fillId="2" borderId="0" xfId="0" applyFont="1" applyFill="1" applyBorder="1" applyAlignment="1">
      <alignment vertical="center"/>
    </xf>
    <xf numFmtId="0" fontId="20" fillId="2" borderId="0" xfId="0" applyFont="1" applyFill="1" applyBorder="1" applyAlignment="1"/>
    <xf numFmtId="0" fontId="20" fillId="2" borderId="0" xfId="0" applyFont="1" applyFill="1" applyBorder="1" applyAlignment="1">
      <alignment horizontal="center" vertical="center"/>
    </xf>
    <xf numFmtId="0" fontId="84" fillId="2" borderId="0" xfId="0" applyFont="1" applyFill="1" applyBorder="1" applyAlignment="1">
      <alignment horizontal="left" vertical="center"/>
    </xf>
    <xf numFmtId="0" fontId="2" fillId="2" borderId="8" xfId="1" applyFont="1" applyFill="1" applyBorder="1" applyAlignment="1" applyProtection="1"/>
    <xf numFmtId="0" fontId="63" fillId="2" borderId="128" xfId="0" applyFont="1" applyFill="1" applyBorder="1" applyAlignment="1">
      <alignment horizontal="left" vertical="center"/>
    </xf>
    <xf numFmtId="0" fontId="63" fillId="2" borderId="129" xfId="0" applyFont="1" applyFill="1" applyBorder="1" applyAlignment="1">
      <alignment horizontal="left" vertical="center"/>
    </xf>
    <xf numFmtId="0" fontId="61" fillId="2" borderId="129" xfId="0" applyFont="1" applyFill="1" applyBorder="1"/>
    <xf numFmtId="0" fontId="61" fillId="2" borderId="130" xfId="0" applyFont="1" applyFill="1" applyBorder="1"/>
    <xf numFmtId="0" fontId="61" fillId="2" borderId="14" xfId="0" applyFont="1" applyFill="1" applyBorder="1"/>
    <xf numFmtId="0" fontId="61" fillId="2" borderId="0" xfId="0" applyFont="1" applyFill="1" applyBorder="1"/>
    <xf numFmtId="0" fontId="61" fillId="2" borderId="131" xfId="0" applyFont="1" applyFill="1" applyBorder="1"/>
    <xf numFmtId="0" fontId="33" fillId="2" borderId="132" xfId="0" applyFont="1" applyFill="1" applyBorder="1"/>
    <xf numFmtId="0" fontId="33" fillId="2" borderId="0" xfId="0" applyFont="1" applyFill="1" applyBorder="1"/>
    <xf numFmtId="0" fontId="10" fillId="2" borderId="14" xfId="0" applyFont="1" applyFill="1" applyBorder="1" applyAlignment="1">
      <alignment vertical="center"/>
    </xf>
    <xf numFmtId="0" fontId="1" fillId="2" borderId="0" xfId="1" applyFont="1" applyFill="1" applyBorder="1" applyAlignment="1" applyProtection="1"/>
    <xf numFmtId="0" fontId="62" fillId="2" borderId="0" xfId="0" applyFont="1" applyFill="1" applyBorder="1"/>
    <xf numFmtId="0" fontId="37" fillId="2" borderId="0" xfId="0" applyFont="1" applyFill="1" applyBorder="1" applyAlignment="1">
      <alignment wrapText="1"/>
    </xf>
    <xf numFmtId="0" fontId="37" fillId="2" borderId="85" xfId="0" applyFont="1" applyFill="1" applyBorder="1" applyAlignment="1">
      <alignment horizontal="left"/>
    </xf>
    <xf numFmtId="0" fontId="23" fillId="2" borderId="4" xfId="0" applyFont="1" applyFill="1" applyBorder="1" applyAlignment="1">
      <alignment horizontal="left"/>
    </xf>
    <xf numFmtId="0" fontId="26" fillId="2" borderId="2" xfId="0" applyFont="1" applyFill="1" applyBorder="1" applyAlignment="1">
      <alignment horizontal="left"/>
    </xf>
    <xf numFmtId="0" fontId="37" fillId="2" borderId="2" xfId="0" applyFont="1" applyFill="1" applyBorder="1" applyAlignment="1"/>
    <xf numFmtId="0" fontId="37" fillId="2" borderId="2" xfId="0" applyFont="1" applyFill="1" applyBorder="1" applyAlignment="1">
      <alignment horizontal="left"/>
    </xf>
    <xf numFmtId="0" fontId="13" fillId="2" borderId="2" xfId="0" applyFont="1" applyFill="1" applyBorder="1" applyAlignment="1">
      <alignment vertical="center"/>
    </xf>
    <xf numFmtId="0" fontId="20" fillId="3" borderId="0" xfId="0" applyFont="1" applyFill="1" applyBorder="1" applyAlignment="1">
      <alignment vertical="center"/>
    </xf>
    <xf numFmtId="0" fontId="26" fillId="2" borderId="0" xfId="0" applyFont="1" applyFill="1" applyBorder="1" applyAlignment="1">
      <alignment vertical="center"/>
    </xf>
    <xf numFmtId="3" fontId="74" fillId="5" borderId="133" xfId="0" applyNumberFormat="1" applyFont="1" applyFill="1" applyBorder="1" applyAlignment="1">
      <alignment horizontal="left" vertical="center"/>
    </xf>
    <xf numFmtId="3" fontId="1" fillId="2" borderId="0" xfId="0" applyNumberFormat="1" applyFont="1" applyFill="1" applyBorder="1" applyAlignment="1">
      <alignment horizontal="center" vertical="center"/>
    </xf>
    <xf numFmtId="0" fontId="38" fillId="2" borderId="0" xfId="0" applyFont="1" applyFill="1" applyBorder="1" applyAlignment="1"/>
    <xf numFmtId="3" fontId="47" fillId="2" borderId="0" xfId="0" applyNumberFormat="1" applyFont="1" applyFill="1" applyBorder="1" applyAlignment="1">
      <alignment horizontal="center" vertical="center"/>
    </xf>
    <xf numFmtId="0" fontId="37" fillId="2" borderId="17" xfId="0" applyFont="1" applyFill="1" applyBorder="1" applyAlignment="1">
      <alignment horizontal="left" vertical="center" wrapText="1" indent="1"/>
    </xf>
    <xf numFmtId="0" fontId="0" fillId="2" borderId="17" xfId="0" applyFill="1" applyBorder="1" applyAlignment="1">
      <alignment horizontal="left" vertical="center" wrapText="1" indent="1"/>
    </xf>
    <xf numFmtId="0" fontId="0" fillId="2" borderId="134" xfId="0" applyFill="1" applyBorder="1" applyAlignment="1">
      <alignment horizontal="left" vertical="center" wrapText="1" indent="1"/>
    </xf>
    <xf numFmtId="0" fontId="23" fillId="2" borderId="17" xfId="0" applyFont="1" applyFill="1" applyBorder="1" applyAlignment="1">
      <alignment horizontal="left" vertical="center" indent="1"/>
    </xf>
    <xf numFmtId="0" fontId="0" fillId="2" borderId="17" xfId="0" applyFill="1" applyBorder="1" applyAlignment="1">
      <alignment horizontal="left" vertical="center" indent="1"/>
    </xf>
    <xf numFmtId="0" fontId="0" fillId="2" borderId="134" xfId="0" applyFill="1" applyBorder="1" applyAlignment="1">
      <alignment horizontal="left" vertical="center" indent="1"/>
    </xf>
    <xf numFmtId="0" fontId="37" fillId="2" borderId="17" xfId="0" applyFont="1" applyFill="1" applyBorder="1" applyAlignment="1">
      <alignment horizontal="left" vertical="center" indent="1"/>
    </xf>
    <xf numFmtId="0" fontId="0" fillId="4" borderId="92" xfId="0" applyFill="1" applyBorder="1" applyAlignment="1">
      <alignment horizontal="left"/>
    </xf>
    <xf numFmtId="0" fontId="7" fillId="2" borderId="135" xfId="0" applyFont="1" applyFill="1" applyBorder="1" applyAlignment="1">
      <alignment horizontal="left" vertical="center"/>
    </xf>
    <xf numFmtId="0" fontId="20" fillId="2" borderId="136" xfId="0" applyFont="1" applyFill="1" applyBorder="1" applyAlignment="1">
      <alignment horizontal="left" vertical="center"/>
    </xf>
    <xf numFmtId="0" fontId="7" fillId="2" borderId="137" xfId="0" applyFont="1" applyFill="1" applyBorder="1" applyAlignment="1">
      <alignment horizontal="left" vertical="center"/>
    </xf>
    <xf numFmtId="0" fontId="0" fillId="2" borderId="44" xfId="0" applyFill="1" applyBorder="1" applyAlignment="1">
      <alignment wrapText="1"/>
    </xf>
    <xf numFmtId="0" fontId="38" fillId="2" borderId="0" xfId="0" applyFont="1" applyFill="1" applyBorder="1" applyAlignment="1">
      <alignment horizontal="center" vertical="center" wrapText="1"/>
    </xf>
    <xf numFmtId="0" fontId="20" fillId="2" borderId="60" xfId="0" applyFont="1" applyFill="1" applyBorder="1" applyAlignment="1">
      <alignment horizontal="center" vertical="center" wrapText="1"/>
    </xf>
    <xf numFmtId="0" fontId="0" fillId="2" borderId="138" xfId="0" applyFill="1" applyBorder="1" applyAlignment="1">
      <alignment horizontal="center" vertical="center" wrapText="1"/>
    </xf>
    <xf numFmtId="0" fontId="0" fillId="0" borderId="139" xfId="0" applyFill="1" applyBorder="1" applyAlignment="1">
      <alignment horizontal="left"/>
    </xf>
    <xf numFmtId="0" fontId="0" fillId="2" borderId="140" xfId="0" applyFill="1" applyBorder="1" applyAlignment="1">
      <alignment horizontal="left"/>
    </xf>
    <xf numFmtId="0" fontId="0" fillId="2" borderId="141" xfId="0" applyFill="1" applyBorder="1" applyAlignment="1">
      <alignment horizontal="left"/>
    </xf>
    <xf numFmtId="0" fontId="60" fillId="4" borderId="92" xfId="0" applyFont="1" applyFill="1" applyBorder="1" applyAlignment="1">
      <alignment horizontal="left" vertical="center"/>
    </xf>
    <xf numFmtId="0" fontId="83" fillId="4" borderId="92" xfId="0" applyFont="1" applyFill="1" applyBorder="1" applyAlignment="1">
      <alignment horizontal="left" vertical="center"/>
    </xf>
    <xf numFmtId="0" fontId="88" fillId="3" borderId="44" xfId="0" applyFont="1" applyFill="1" applyBorder="1" applyAlignment="1">
      <alignment horizontal="center" vertical="center"/>
    </xf>
    <xf numFmtId="0" fontId="4" fillId="3" borderId="44" xfId="0" applyFont="1" applyFill="1" applyBorder="1" applyAlignment="1">
      <alignment horizontal="center" vertical="center"/>
    </xf>
    <xf numFmtId="0" fontId="4" fillId="5" borderId="125" xfId="0" applyFont="1" applyFill="1" applyBorder="1" applyAlignment="1">
      <alignment horizontal="center" vertical="center"/>
    </xf>
    <xf numFmtId="0" fontId="41" fillId="5" borderId="142" xfId="0" applyFont="1" applyFill="1" applyBorder="1" applyAlignment="1">
      <alignment horizontal="left" vertical="center"/>
    </xf>
    <xf numFmtId="0" fontId="0" fillId="4" borderId="85" xfId="0" applyFill="1" applyBorder="1" applyAlignment="1">
      <alignment vertical="center"/>
    </xf>
    <xf numFmtId="0" fontId="48" fillId="2" borderId="0" xfId="0" applyFont="1" applyFill="1" applyBorder="1" applyAlignment="1">
      <alignment horizontal="left" vertical="center"/>
    </xf>
    <xf numFmtId="0" fontId="15" fillId="2" borderId="0" xfId="0" applyFont="1" applyFill="1" applyBorder="1" applyAlignment="1">
      <alignment horizontal="left" vertical="center"/>
    </xf>
    <xf numFmtId="0" fontId="0" fillId="2" borderId="0" xfId="0" applyFill="1" applyAlignment="1">
      <alignment horizontal="left" vertical="center"/>
    </xf>
    <xf numFmtId="0" fontId="74" fillId="5" borderId="143" xfId="0" applyFont="1" applyFill="1" applyBorder="1" applyAlignment="1">
      <alignment vertical="center"/>
    </xf>
    <xf numFmtId="0" fontId="101" fillId="2" borderId="0" xfId="0" applyFont="1" applyFill="1" applyBorder="1" applyAlignment="1">
      <alignment vertical="center"/>
    </xf>
    <xf numFmtId="0" fontId="0" fillId="2" borderId="0" xfId="0" applyFill="1" applyBorder="1" applyAlignment="1">
      <alignment horizontal="left" vertical="center"/>
    </xf>
    <xf numFmtId="0" fontId="18" fillId="2" borderId="0" xfId="0" applyFont="1" applyFill="1" applyBorder="1" applyAlignment="1">
      <alignment vertical="center" wrapText="1"/>
    </xf>
    <xf numFmtId="0" fontId="13" fillId="2" borderId="0" xfId="0" applyFont="1" applyFill="1" applyBorder="1" applyAlignment="1">
      <alignment vertical="center"/>
    </xf>
    <xf numFmtId="0" fontId="10" fillId="2" borderId="0" xfId="0" applyFont="1" applyFill="1" applyBorder="1" applyAlignment="1">
      <alignment vertical="center" wrapText="1"/>
    </xf>
    <xf numFmtId="3" fontId="46" fillId="2" borderId="144" xfId="0" applyNumberFormat="1" applyFont="1" applyFill="1" applyBorder="1" applyAlignment="1">
      <alignment horizontal="center" vertical="center"/>
    </xf>
    <xf numFmtId="0" fontId="74" fillId="2" borderId="0" xfId="0" applyFont="1" applyFill="1" applyBorder="1" applyAlignment="1">
      <alignment horizontal="center" vertical="center"/>
    </xf>
    <xf numFmtId="0" fontId="83" fillId="2" borderId="0" xfId="0" applyFont="1" applyFill="1" applyBorder="1" applyAlignment="1">
      <alignment horizontal="left" vertical="center"/>
    </xf>
    <xf numFmtId="0" fontId="0" fillId="0" borderId="0" xfId="0" applyFill="1" applyBorder="1" applyAlignment="1"/>
    <xf numFmtId="0" fontId="92" fillId="3" borderId="0" xfId="0" applyFont="1" applyFill="1" applyBorder="1" applyAlignment="1">
      <alignment vertical="center"/>
    </xf>
    <xf numFmtId="0" fontId="90" fillId="2" borderId="0" xfId="0" applyFont="1" applyFill="1" applyBorder="1" applyAlignment="1">
      <alignment vertical="center"/>
    </xf>
    <xf numFmtId="0" fontId="80" fillId="2" borderId="0" xfId="0" applyFont="1" applyFill="1" applyBorder="1" applyAlignment="1">
      <alignment vertical="center" wrapText="1"/>
    </xf>
    <xf numFmtId="0" fontId="2" fillId="0" borderId="145" xfId="0" applyFont="1" applyFill="1" applyBorder="1" applyAlignment="1">
      <alignment vertical="center"/>
    </xf>
    <xf numFmtId="0" fontId="75" fillId="2" borderId="4" xfId="0" applyFont="1" applyFill="1" applyBorder="1" applyAlignment="1">
      <alignment horizontal="left" vertical="center"/>
    </xf>
    <xf numFmtId="0" fontId="1" fillId="2" borderId="7" xfId="1" applyFont="1" applyFill="1" applyBorder="1" applyAlignment="1" applyProtection="1"/>
    <xf numFmtId="0" fontId="1" fillId="2" borderId="7" xfId="0" applyFont="1" applyFill="1" applyBorder="1"/>
    <xf numFmtId="0" fontId="50" fillId="5" borderId="133" xfId="0" applyFont="1" applyFill="1" applyBorder="1" applyAlignment="1">
      <alignment vertical="center"/>
    </xf>
    <xf numFmtId="0" fontId="83" fillId="4" borderId="0" xfId="0" applyFont="1" applyFill="1" applyBorder="1"/>
    <xf numFmtId="0" fontId="81" fillId="4" borderId="0" xfId="0" applyFont="1" applyFill="1" applyBorder="1" applyAlignment="1">
      <alignment vertical="center"/>
    </xf>
    <xf numFmtId="0" fontId="0" fillId="4" borderId="0" xfId="0" applyFill="1" applyBorder="1"/>
    <xf numFmtId="0" fontId="1" fillId="2" borderId="0" xfId="0" applyFont="1" applyFill="1" applyBorder="1" applyAlignment="1">
      <alignment horizontal="left" vertical="center" wrapText="1"/>
    </xf>
    <xf numFmtId="0" fontId="0" fillId="2" borderId="0" xfId="0" applyFill="1" applyBorder="1" applyAlignment="1">
      <alignment horizontal="left" vertical="center" wrapText="1"/>
    </xf>
    <xf numFmtId="0" fontId="0" fillId="2" borderId="146" xfId="0" applyFill="1" applyBorder="1" applyAlignment="1">
      <alignment horizontal="left" vertical="center" wrapText="1"/>
    </xf>
    <xf numFmtId="0" fontId="1" fillId="2" borderId="0" xfId="0" applyFont="1" applyFill="1" applyBorder="1" applyAlignment="1">
      <alignment horizontal="left" vertical="center" indent="1"/>
    </xf>
    <xf numFmtId="0" fontId="0" fillId="2" borderId="146" xfId="0" applyFill="1" applyBorder="1" applyAlignment="1">
      <alignment horizontal="left" vertical="center"/>
    </xf>
    <xf numFmtId="0" fontId="2" fillId="2" borderId="0" xfId="0" applyFont="1" applyFill="1" applyBorder="1" applyAlignment="1">
      <alignment horizontal="left" vertical="center" indent="1"/>
    </xf>
    <xf numFmtId="0" fontId="89" fillId="2" borderId="147" xfId="0" applyFont="1" applyFill="1" applyBorder="1" applyAlignment="1">
      <alignment horizontal="left"/>
    </xf>
    <xf numFmtId="0" fontId="98" fillId="4" borderId="0" xfId="0" applyFont="1" applyFill="1" applyBorder="1"/>
    <xf numFmtId="0" fontId="66" fillId="4" borderId="0" xfId="0" applyFont="1" applyFill="1" applyBorder="1" applyAlignment="1">
      <alignment vertical="center"/>
    </xf>
    <xf numFmtId="0" fontId="0" fillId="4" borderId="0" xfId="0" applyFill="1" applyBorder="1" applyAlignment="1">
      <alignment vertical="center"/>
    </xf>
    <xf numFmtId="0" fontId="60" fillId="4" borderId="0" xfId="0" applyFont="1" applyFill="1" applyBorder="1"/>
    <xf numFmtId="0" fontId="59" fillId="2" borderId="139" xfId="0" applyFont="1" applyFill="1" applyBorder="1" applyAlignment="1">
      <alignment horizontal="left" vertical="center"/>
    </xf>
    <xf numFmtId="3" fontId="74" fillId="5" borderId="148" xfId="0" applyNumberFormat="1" applyFont="1" applyFill="1" applyBorder="1" applyAlignment="1">
      <alignment horizontal="center" vertical="center"/>
    </xf>
    <xf numFmtId="0" fontId="23" fillId="2" borderId="44" xfId="0" applyFont="1" applyFill="1" applyBorder="1" applyAlignment="1">
      <alignment horizontal="left" vertical="center" wrapText="1"/>
    </xf>
    <xf numFmtId="0" fontId="23" fillId="2" borderId="44" xfId="0" applyFont="1" applyFill="1" applyBorder="1" applyAlignment="1">
      <alignment horizontal="left" vertical="center"/>
    </xf>
    <xf numFmtId="0" fontId="20" fillId="2" borderId="44" xfId="0" applyFont="1" applyFill="1" applyBorder="1" applyAlignment="1">
      <alignment horizontal="left"/>
    </xf>
    <xf numFmtId="0" fontId="38" fillId="2" borderId="44" xfId="0" applyFont="1" applyFill="1" applyBorder="1" applyAlignment="1">
      <alignment horizontal="left"/>
    </xf>
    <xf numFmtId="0" fontId="1" fillId="2" borderId="0" xfId="0" applyFont="1" applyFill="1" applyBorder="1" applyAlignment="1">
      <alignment horizontal="left" vertical="center"/>
    </xf>
    <xf numFmtId="0" fontId="48" fillId="2" borderId="4" xfId="0" applyFont="1" applyFill="1" applyBorder="1" applyAlignment="1">
      <alignment vertical="center"/>
    </xf>
    <xf numFmtId="0" fontId="10" fillId="2" borderId="149" xfId="0" applyFont="1" applyFill="1" applyBorder="1" applyAlignment="1">
      <alignment vertical="center"/>
    </xf>
    <xf numFmtId="0" fontId="0" fillId="2" borderId="150" xfId="0" applyFill="1" applyBorder="1" applyAlignment="1">
      <alignment vertical="center"/>
    </xf>
    <xf numFmtId="0" fontId="74" fillId="5" borderId="85" xfId="0" applyFont="1" applyFill="1" applyBorder="1" applyAlignment="1">
      <alignment vertical="center"/>
    </xf>
    <xf numFmtId="0" fontId="0" fillId="0" borderId="145" xfId="0" applyBorder="1" applyAlignment="1">
      <alignment vertical="center"/>
    </xf>
    <xf numFmtId="0" fontId="0" fillId="3" borderId="15" xfId="0" applyFill="1" applyBorder="1" applyAlignment="1">
      <alignment vertical="center"/>
    </xf>
    <xf numFmtId="0" fontId="20" fillId="0" borderId="0" xfId="0" applyFont="1" applyBorder="1" applyAlignment="1">
      <alignment vertical="center"/>
    </xf>
    <xf numFmtId="0" fontId="20" fillId="0" borderId="15" xfId="0" applyFont="1" applyBorder="1" applyAlignment="1">
      <alignment vertical="center"/>
    </xf>
    <xf numFmtId="0" fontId="50" fillId="5" borderId="91" xfId="0" applyFont="1" applyFill="1" applyBorder="1" applyAlignment="1">
      <alignment horizontal="center" vertical="center"/>
    </xf>
    <xf numFmtId="0" fontId="37" fillId="3" borderId="146" xfId="0" applyFont="1" applyFill="1" applyBorder="1" applyAlignment="1">
      <alignment wrapText="1"/>
    </xf>
    <xf numFmtId="0" fontId="2" fillId="3" borderId="146" xfId="0" applyFont="1" applyFill="1" applyBorder="1" applyAlignment="1">
      <alignment vertical="center"/>
    </xf>
    <xf numFmtId="0" fontId="2" fillId="3" borderId="0" xfId="0" applyFont="1" applyFill="1" applyBorder="1" applyAlignment="1">
      <alignment vertical="center"/>
    </xf>
    <xf numFmtId="0" fontId="1" fillId="0" borderId="60" xfId="0" applyFont="1" applyFill="1" applyBorder="1" applyAlignment="1">
      <alignment vertical="center"/>
    </xf>
    <xf numFmtId="0" fontId="2" fillId="0" borderId="14" xfId="0" applyFont="1" applyFill="1" applyBorder="1" applyAlignment="1">
      <alignment vertical="center"/>
    </xf>
    <xf numFmtId="3" fontId="46" fillId="4" borderId="0" xfId="0" applyNumberFormat="1" applyFont="1" applyFill="1" applyBorder="1" applyAlignment="1">
      <alignment horizontal="center" vertical="center"/>
    </xf>
    <xf numFmtId="0" fontId="80" fillId="4" borderId="0" xfId="0" applyFont="1" applyFill="1" applyBorder="1" applyAlignment="1">
      <alignment vertical="center" wrapText="1"/>
    </xf>
    <xf numFmtId="0" fontId="0" fillId="4" borderId="0" xfId="0" applyFill="1" applyBorder="1" applyAlignment="1">
      <alignment vertical="center" wrapText="1"/>
    </xf>
    <xf numFmtId="0" fontId="75" fillId="4" borderId="4" xfId="0" applyFont="1" applyFill="1" applyBorder="1" applyAlignment="1">
      <alignment horizontal="left" vertical="center"/>
    </xf>
    <xf numFmtId="0" fontId="69" fillId="4" borderId="2" xfId="0" applyFont="1" applyFill="1" applyBorder="1" applyAlignment="1">
      <alignment vertical="center"/>
    </xf>
    <xf numFmtId="0" fontId="86" fillId="4" borderId="0" xfId="1" applyFont="1" applyFill="1" applyAlignment="1" applyProtection="1"/>
    <xf numFmtId="0" fontId="86" fillId="4" borderId="2" xfId="1" applyFont="1" applyFill="1" applyBorder="1" applyAlignment="1" applyProtection="1">
      <alignment vertical="center"/>
    </xf>
    <xf numFmtId="0" fontId="48" fillId="4" borderId="0" xfId="0" applyFont="1" applyFill="1" applyBorder="1" applyAlignment="1">
      <alignment horizontal="left" vertical="center"/>
    </xf>
    <xf numFmtId="0" fontId="0" fillId="4" borderId="0" xfId="0" applyFill="1" applyAlignment="1">
      <alignment horizontal="left" vertical="center"/>
    </xf>
    <xf numFmtId="0" fontId="0" fillId="3" borderId="9" xfId="0" applyFill="1" applyBorder="1" applyAlignment="1">
      <alignment vertical="center"/>
    </xf>
    <xf numFmtId="0" fontId="37" fillId="3" borderId="15" xfId="0" applyFont="1" applyFill="1" applyBorder="1" applyAlignment="1"/>
    <xf numFmtId="0" fontId="37" fillId="0" borderId="15" xfId="0" applyFont="1" applyFill="1" applyBorder="1" applyAlignment="1"/>
    <xf numFmtId="0" fontId="37" fillId="3" borderId="150" xfId="0" applyFont="1" applyFill="1" applyBorder="1" applyAlignment="1"/>
    <xf numFmtId="0" fontId="0" fillId="3" borderId="151" xfId="0" applyFill="1" applyBorder="1" applyAlignment="1">
      <alignment vertical="center"/>
    </xf>
    <xf numFmtId="0" fontId="0" fillId="0" borderId="150" xfId="0" applyBorder="1" applyAlignment="1">
      <alignment vertical="center"/>
    </xf>
    <xf numFmtId="0" fontId="0" fillId="3" borderId="150" xfId="0" applyFill="1" applyBorder="1" applyAlignment="1">
      <alignment vertical="center"/>
    </xf>
    <xf numFmtId="0" fontId="37" fillId="0" borderId="150" xfId="0" applyFont="1" applyFill="1" applyBorder="1" applyAlignment="1"/>
    <xf numFmtId="0" fontId="23" fillId="3" borderId="150" xfId="0" applyFont="1" applyFill="1" applyBorder="1" applyAlignment="1"/>
    <xf numFmtId="0" fontId="0" fillId="0" borderId="2" xfId="0" applyBorder="1" applyAlignment="1">
      <alignment vertical="center"/>
    </xf>
    <xf numFmtId="3" fontId="46" fillId="0" borderId="14" xfId="0" applyNumberFormat="1" applyFont="1" applyBorder="1" applyAlignment="1">
      <alignment horizontal="center" vertical="center"/>
    </xf>
    <xf numFmtId="3" fontId="46" fillId="0" borderId="14" xfId="0" applyNumberFormat="1" applyFont="1" applyFill="1" applyBorder="1" applyAlignment="1">
      <alignment horizontal="center" vertical="center"/>
    </xf>
    <xf numFmtId="0" fontId="0" fillId="0" borderId="14" xfId="0" applyFill="1" applyBorder="1" applyAlignment="1">
      <alignment vertical="center"/>
    </xf>
    <xf numFmtId="0" fontId="23" fillId="3" borderId="146" xfId="0" applyFont="1" applyFill="1" applyBorder="1" applyAlignment="1"/>
    <xf numFmtId="0" fontId="23" fillId="0" borderId="145" xfId="0" applyFont="1" applyFill="1" applyBorder="1" applyAlignment="1"/>
    <xf numFmtId="0" fontId="0" fillId="3" borderId="146" xfId="0" applyFill="1" applyBorder="1" applyAlignment="1">
      <alignment vertical="center"/>
    </xf>
    <xf numFmtId="0" fontId="0" fillId="0" borderId="151" xfId="0" applyBorder="1" applyAlignment="1">
      <alignment vertical="center"/>
    </xf>
    <xf numFmtId="0" fontId="37" fillId="3" borderId="151" xfId="0" applyFont="1" applyFill="1" applyBorder="1" applyAlignment="1"/>
    <xf numFmtId="0" fontId="20" fillId="3" borderId="15" xfId="0" applyFont="1" applyFill="1" applyBorder="1" applyAlignment="1">
      <alignment vertical="center"/>
    </xf>
    <xf numFmtId="0" fontId="23" fillId="0" borderId="14" xfId="0" applyFont="1" applyFill="1" applyBorder="1" applyAlignment="1"/>
    <xf numFmtId="0" fontId="23" fillId="0" borderId="3" xfId="0" applyFont="1" applyFill="1" applyBorder="1" applyAlignment="1"/>
    <xf numFmtId="0" fontId="20" fillId="0" borderId="152" xfId="0" applyFont="1" applyFill="1" applyBorder="1" applyAlignment="1">
      <alignment vertical="center"/>
    </xf>
    <xf numFmtId="0" fontId="20" fillId="0" borderId="153" xfId="0" applyFont="1" applyFill="1" applyBorder="1" applyAlignment="1">
      <alignment vertical="center"/>
    </xf>
    <xf numFmtId="0" fontId="20" fillId="0" borderId="154" xfId="0" applyFont="1" applyFill="1" applyBorder="1" applyAlignment="1">
      <alignment vertical="center"/>
    </xf>
    <xf numFmtId="3" fontId="47" fillId="0" borderId="154" xfId="0" applyNumberFormat="1" applyFont="1" applyFill="1" applyBorder="1" applyAlignment="1">
      <alignment horizontal="center" vertical="center"/>
    </xf>
    <xf numFmtId="0" fontId="23" fillId="0" borderId="154" xfId="0" applyFont="1" applyFill="1" applyBorder="1" applyAlignment="1"/>
    <xf numFmtId="0" fontId="20" fillId="0" borderId="155" xfId="0" applyFont="1" applyFill="1" applyBorder="1" applyAlignment="1">
      <alignment vertical="center"/>
    </xf>
    <xf numFmtId="0" fontId="20" fillId="0" borderId="156" xfId="0" applyFont="1" applyFill="1" applyBorder="1" applyAlignment="1">
      <alignment vertical="center"/>
    </xf>
    <xf numFmtId="0" fontId="1" fillId="0" borderId="102" xfId="0" applyFont="1" applyFill="1" applyBorder="1" applyAlignment="1">
      <alignment vertical="center"/>
    </xf>
    <xf numFmtId="0" fontId="83" fillId="4" borderId="85" xfId="0" applyFont="1" applyFill="1" applyBorder="1" applyAlignment="1">
      <alignment horizontal="left" vertical="center"/>
    </xf>
    <xf numFmtId="0" fontId="83" fillId="4" borderId="0" xfId="0" applyFont="1" applyFill="1" applyBorder="1" applyAlignment="1">
      <alignment horizontal="left" vertical="center"/>
    </xf>
    <xf numFmtId="0" fontId="2" fillId="0" borderId="157" xfId="0" applyFont="1" applyFill="1" applyBorder="1" applyAlignment="1">
      <alignment vertical="center"/>
    </xf>
    <xf numFmtId="0" fontId="13" fillId="0" borderId="0" xfId="0" applyFont="1" applyFill="1" applyBorder="1" applyAlignment="1">
      <alignment horizontal="left" vertical="center"/>
    </xf>
    <xf numFmtId="0" fontId="18" fillId="0" borderId="0" xfId="0" applyFont="1" applyFill="1" applyBorder="1" applyAlignment="1">
      <alignment horizontal="center" vertical="center"/>
    </xf>
    <xf numFmtId="0" fontId="0" fillId="4" borderId="0" xfId="0" applyFill="1" applyBorder="1" applyAlignment="1">
      <alignment horizontal="left" vertical="center"/>
    </xf>
    <xf numFmtId="0" fontId="79" fillId="4" borderId="9" xfId="0" applyFont="1" applyFill="1" applyBorder="1" applyAlignment="1">
      <alignment vertical="center"/>
    </xf>
    <xf numFmtId="0" fontId="38" fillId="4" borderId="0" xfId="0" applyFont="1" applyFill="1" applyBorder="1" applyAlignment="1">
      <alignment vertical="center"/>
    </xf>
    <xf numFmtId="0" fontId="86" fillId="4" borderId="0" xfId="1" applyFont="1" applyFill="1" applyBorder="1" applyAlignment="1" applyProtection="1">
      <alignment vertical="center"/>
    </xf>
    <xf numFmtId="3" fontId="86" fillId="4" borderId="0" xfId="1" applyNumberFormat="1" applyFont="1" applyFill="1" applyBorder="1" applyAlignment="1" applyProtection="1">
      <alignment horizontal="center" vertical="center"/>
    </xf>
    <xf numFmtId="0" fontId="87" fillId="3" borderId="114" xfId="0" applyFont="1" applyFill="1" applyBorder="1" applyAlignment="1">
      <alignment horizontal="center" vertical="center" wrapText="1"/>
    </xf>
    <xf numFmtId="0" fontId="50" fillId="5" borderId="158" xfId="0" applyFont="1" applyFill="1" applyBorder="1" applyAlignment="1">
      <alignment horizontal="center" vertical="center"/>
    </xf>
    <xf numFmtId="0" fontId="50" fillId="5" borderId="159" xfId="0" applyFont="1" applyFill="1" applyBorder="1" applyAlignment="1">
      <alignment horizontal="center" vertical="center"/>
    </xf>
    <xf numFmtId="0" fontId="50" fillId="5" borderId="160" xfId="0" applyFont="1" applyFill="1" applyBorder="1" applyAlignment="1">
      <alignment horizontal="center" vertical="center"/>
    </xf>
    <xf numFmtId="0" fontId="50" fillId="5" borderId="161" xfId="0" applyFont="1" applyFill="1" applyBorder="1" applyAlignment="1">
      <alignment horizontal="center" vertical="center"/>
    </xf>
    <xf numFmtId="0" fontId="1" fillId="0" borderId="0" xfId="0" applyFont="1" applyAlignment="1">
      <alignment horizontal="left" indent="1"/>
    </xf>
    <xf numFmtId="0" fontId="49" fillId="0" borderId="162" xfId="0" applyFont="1" applyFill="1" applyBorder="1" applyAlignment="1">
      <alignment vertical="center"/>
    </xf>
    <xf numFmtId="0" fontId="4" fillId="5" borderId="114" xfId="0" applyFont="1" applyFill="1" applyBorder="1" applyAlignment="1">
      <alignment horizontal="center" vertical="center"/>
    </xf>
    <xf numFmtId="0" fontId="15" fillId="0" borderId="119" xfId="0" applyFont="1" applyFill="1" applyBorder="1" applyAlignment="1">
      <alignment vertical="center"/>
    </xf>
    <xf numFmtId="0" fontId="15" fillId="0" borderId="123" xfId="0" applyFont="1" applyFill="1" applyBorder="1" applyAlignment="1">
      <alignment vertical="center"/>
    </xf>
    <xf numFmtId="0" fontId="0" fillId="0" borderId="3" xfId="0" applyFill="1" applyBorder="1"/>
    <xf numFmtId="0" fontId="0" fillId="0" borderId="11" xfId="0" applyFill="1" applyBorder="1"/>
    <xf numFmtId="0" fontId="28" fillId="3" borderId="41" xfId="0" applyFont="1" applyFill="1" applyBorder="1"/>
    <xf numFmtId="0" fontId="10" fillId="0" borderId="163" xfId="0" applyFont="1" applyBorder="1"/>
    <xf numFmtId="0" fontId="0" fillId="5" borderId="133" xfId="0" applyFill="1" applyBorder="1" applyAlignment="1">
      <alignment horizontal="left"/>
    </xf>
    <xf numFmtId="0" fontId="0" fillId="5" borderId="164" xfId="0" applyFill="1" applyBorder="1" applyAlignment="1">
      <alignment horizontal="left"/>
    </xf>
    <xf numFmtId="0" fontId="50" fillId="5" borderId="165" xfId="0" applyFont="1" applyFill="1" applyBorder="1" applyAlignment="1">
      <alignment vertical="center"/>
    </xf>
    <xf numFmtId="0" fontId="60" fillId="3" borderId="166" xfId="0" applyFont="1" applyFill="1" applyBorder="1" applyAlignment="1">
      <alignment horizontal="left" vertical="center"/>
    </xf>
    <xf numFmtId="0" fontId="33" fillId="3" borderId="92" xfId="0" applyFont="1" applyFill="1" applyBorder="1" applyAlignment="1"/>
    <xf numFmtId="3" fontId="81" fillId="3" borderId="92" xfId="0" applyNumberFormat="1" applyFont="1" applyFill="1" applyBorder="1" applyAlignment="1">
      <alignment horizontal="left" vertical="center"/>
    </xf>
    <xf numFmtId="0" fontId="0" fillId="3" borderId="92" xfId="0" applyFill="1" applyBorder="1" applyAlignment="1">
      <alignment horizontal="left" vertical="center"/>
    </xf>
    <xf numFmtId="0" fontId="0" fillId="3" borderId="67" xfId="0" applyFill="1" applyBorder="1" applyAlignment="1">
      <alignment horizontal="left" vertical="center"/>
    </xf>
    <xf numFmtId="0" fontId="59" fillId="3" borderId="0" xfId="0" applyFont="1" applyFill="1" applyBorder="1" applyAlignment="1">
      <alignment horizontal="left" vertical="center"/>
    </xf>
    <xf numFmtId="0" fontId="18" fillId="0" borderId="58" xfId="0" applyFont="1" applyFill="1" applyBorder="1" applyAlignment="1"/>
    <xf numFmtId="0" fontId="18" fillId="0" borderId="58" xfId="0" applyFont="1" applyFill="1" applyBorder="1" applyAlignment="1">
      <alignment horizontal="left"/>
    </xf>
    <xf numFmtId="3" fontId="74" fillId="5" borderId="167" xfId="0" applyNumberFormat="1" applyFont="1" applyFill="1" applyBorder="1" applyAlignment="1">
      <alignment horizontal="center" vertical="center"/>
    </xf>
    <xf numFmtId="3" fontId="32" fillId="5" borderId="168" xfId="0" applyNumberFormat="1" applyFont="1" applyFill="1" applyBorder="1" applyAlignment="1">
      <alignment horizontal="center" vertical="center"/>
    </xf>
    <xf numFmtId="0" fontId="8" fillId="2" borderId="144" xfId="0" applyFont="1" applyFill="1" applyBorder="1" applyAlignment="1">
      <alignment horizontal="left" vertical="center" wrapText="1" indent="1"/>
    </xf>
    <xf numFmtId="0" fontId="0" fillId="2" borderId="144" xfId="0" applyFill="1" applyBorder="1" applyAlignment="1">
      <alignment horizontal="left" vertical="center" wrapText="1" indent="1"/>
    </xf>
    <xf numFmtId="0" fontId="49" fillId="2" borderId="144" xfId="0" applyFont="1" applyFill="1" applyBorder="1" applyAlignment="1">
      <alignment horizontal="left" vertical="center" wrapText="1"/>
    </xf>
    <xf numFmtId="0" fontId="0" fillId="2" borderId="144" xfId="0" applyFill="1" applyBorder="1" applyAlignment="1">
      <alignment wrapText="1"/>
    </xf>
    <xf numFmtId="0" fontId="1" fillId="0" borderId="163" xfId="0" applyFont="1" applyBorder="1" applyAlignment="1">
      <alignment vertical="center"/>
    </xf>
    <xf numFmtId="0" fontId="0" fillId="0" borderId="9" xfId="0" applyFill="1" applyBorder="1"/>
    <xf numFmtId="0" fontId="33" fillId="4" borderId="92" xfId="0" applyFont="1" applyFill="1" applyBorder="1" applyAlignment="1">
      <alignment horizontal="left"/>
    </xf>
    <xf numFmtId="0" fontId="41" fillId="2" borderId="159" xfId="0" applyFont="1" applyFill="1" applyBorder="1" applyAlignment="1">
      <alignment horizontal="left" vertical="center"/>
    </xf>
    <xf numFmtId="0" fontId="40" fillId="2" borderId="159" xfId="0" applyFont="1" applyFill="1" applyBorder="1" applyAlignment="1">
      <alignment horizontal="center" vertical="center" wrapText="1"/>
    </xf>
    <xf numFmtId="0" fontId="39" fillId="2" borderId="159" xfId="0" applyFont="1" applyFill="1" applyBorder="1"/>
    <xf numFmtId="0" fontId="41" fillId="2" borderId="144" xfId="0" applyFont="1" applyFill="1" applyBorder="1" applyAlignment="1">
      <alignment horizontal="left" vertical="center"/>
    </xf>
    <xf numFmtId="0" fontId="40" fillId="2" borderId="144" xfId="0" applyFont="1" applyFill="1" applyBorder="1" applyAlignment="1">
      <alignment horizontal="center" vertical="center" wrapText="1"/>
    </xf>
    <xf numFmtId="0" fontId="39" fillId="2" borderId="144" xfId="0" applyFont="1" applyFill="1" applyBorder="1"/>
    <xf numFmtId="0" fontId="0" fillId="0" borderId="14" xfId="0" applyFill="1" applyBorder="1"/>
    <xf numFmtId="0" fontId="0" fillId="0" borderId="17" xfId="0" applyFill="1" applyBorder="1"/>
    <xf numFmtId="0" fontId="0" fillId="0" borderId="169" xfId="0" applyFill="1" applyBorder="1"/>
    <xf numFmtId="0" fontId="0" fillId="0" borderId="10" xfId="0" applyFill="1" applyBorder="1"/>
    <xf numFmtId="0" fontId="0" fillId="0" borderId="169" xfId="0" applyBorder="1"/>
    <xf numFmtId="0" fontId="0" fillId="4" borderId="170" xfId="0" applyFill="1" applyBorder="1"/>
    <xf numFmtId="0" fontId="58" fillId="0" borderId="0" xfId="1" applyFont="1" applyFill="1" applyBorder="1" applyAlignment="1" applyProtection="1">
      <alignment vertical="center"/>
    </xf>
    <xf numFmtId="0" fontId="2" fillId="0" borderId="3" xfId="1" applyFont="1" applyFill="1" applyBorder="1" applyAlignment="1" applyProtection="1"/>
    <xf numFmtId="0" fontId="65" fillId="0" borderId="0" xfId="0" applyFont="1" applyFill="1" applyBorder="1"/>
    <xf numFmtId="0" fontId="10" fillId="0" borderId="8" xfId="0" applyFont="1" applyFill="1" applyBorder="1" applyAlignment="1">
      <alignment vertical="center"/>
    </xf>
    <xf numFmtId="0" fontId="10" fillId="0" borderId="3" xfId="0" applyFont="1" applyFill="1" applyBorder="1" applyAlignment="1">
      <alignment vertical="center"/>
    </xf>
    <xf numFmtId="0" fontId="10" fillId="0" borderId="14" xfId="0" applyFont="1" applyFill="1" applyBorder="1" applyAlignment="1">
      <alignment vertical="center"/>
    </xf>
    <xf numFmtId="0" fontId="10" fillId="0" borderId="10" xfId="0" applyFont="1" applyFill="1" applyBorder="1" applyAlignment="1">
      <alignment vertical="center"/>
    </xf>
    <xf numFmtId="0" fontId="58" fillId="0" borderId="17" xfId="1" applyFont="1" applyFill="1" applyBorder="1" applyAlignment="1" applyProtection="1">
      <alignment vertical="center"/>
    </xf>
    <xf numFmtId="0" fontId="104" fillId="0" borderId="7" xfId="0" applyFont="1" applyBorder="1"/>
    <xf numFmtId="0" fontId="2" fillId="0" borderId="13" xfId="1" applyFont="1" applyFill="1" applyBorder="1" applyAlignment="1" applyProtection="1"/>
    <xf numFmtId="0" fontId="65" fillId="0" borderId="17" xfId="0" applyFont="1" applyFill="1" applyBorder="1"/>
    <xf numFmtId="0" fontId="10" fillId="0" borderId="13" xfId="0" applyFont="1" applyFill="1" applyBorder="1" applyAlignment="1">
      <alignment vertical="center"/>
    </xf>
    <xf numFmtId="0" fontId="10" fillId="0" borderId="6" xfId="0" applyFont="1" applyFill="1" applyBorder="1" applyAlignment="1">
      <alignment vertical="center"/>
    </xf>
    <xf numFmtId="0" fontId="10" fillId="0" borderId="11" xfId="0" applyFont="1" applyFill="1" applyBorder="1" applyAlignment="1">
      <alignment vertical="center"/>
    </xf>
    <xf numFmtId="0" fontId="37" fillId="0" borderId="0" xfId="0" applyFont="1" applyFill="1" applyBorder="1" applyAlignment="1">
      <alignment wrapText="1"/>
    </xf>
    <xf numFmtId="0" fontId="75" fillId="4" borderId="2" xfId="0" applyFont="1" applyFill="1" applyBorder="1" applyAlignment="1">
      <alignment horizontal="left" vertical="center"/>
    </xf>
    <xf numFmtId="0" fontId="69" fillId="4" borderId="0" xfId="0" applyFont="1" applyFill="1" applyBorder="1" applyAlignment="1">
      <alignment vertical="center"/>
    </xf>
    <xf numFmtId="0" fontId="86" fillId="4" borderId="0" xfId="1" applyFont="1" applyFill="1" applyBorder="1" applyAlignment="1" applyProtection="1"/>
    <xf numFmtId="0" fontId="88" fillId="0" borderId="14" xfId="0" applyFont="1" applyFill="1" applyBorder="1" applyAlignment="1">
      <alignment horizontal="center" vertical="center"/>
    </xf>
    <xf numFmtId="0" fontId="20" fillId="0" borderId="14" xfId="0" applyFont="1" applyFill="1" applyBorder="1" applyAlignment="1">
      <alignment vertical="center"/>
    </xf>
    <xf numFmtId="0" fontId="0" fillId="0" borderId="14" xfId="0" applyFill="1" applyBorder="1" applyAlignment="1"/>
    <xf numFmtId="0" fontId="37" fillId="0" borderId="3" xfId="0" applyFont="1" applyFill="1" applyBorder="1" applyAlignment="1"/>
    <xf numFmtId="0" fontId="37" fillId="0" borderId="14" xfId="0" applyFont="1" applyFill="1" applyBorder="1" applyAlignment="1"/>
    <xf numFmtId="0" fontId="0" fillId="2" borderId="169" xfId="0" applyFill="1" applyBorder="1"/>
    <xf numFmtId="0" fontId="102" fillId="4" borderId="0" xfId="0" applyFont="1" applyFill="1" applyBorder="1" applyAlignment="1">
      <alignment vertical="center"/>
    </xf>
    <xf numFmtId="0" fontId="102" fillId="4" borderId="0" xfId="0" applyFont="1" applyFill="1" applyBorder="1" applyAlignment="1"/>
    <xf numFmtId="0" fontId="84" fillId="0" borderId="56" xfId="0" applyFont="1" applyFill="1" applyBorder="1" applyAlignment="1">
      <alignment horizontal="left" vertical="center"/>
    </xf>
    <xf numFmtId="0" fontId="105" fillId="0" borderId="56" xfId="0" applyFont="1" applyFill="1" applyBorder="1" applyAlignment="1">
      <alignment horizontal="left" vertical="center"/>
    </xf>
    <xf numFmtId="0" fontId="105" fillId="0" borderId="171" xfId="0" applyFont="1" applyFill="1" applyBorder="1" applyAlignment="1">
      <alignment vertical="center"/>
    </xf>
    <xf numFmtId="0" fontId="105" fillId="0" borderId="4" xfId="0" applyFont="1" applyFill="1" applyBorder="1" applyAlignment="1">
      <alignment vertical="center"/>
    </xf>
    <xf numFmtId="0" fontId="105" fillId="0" borderId="8" xfId="0" applyFont="1" applyFill="1" applyBorder="1" applyAlignment="1">
      <alignment vertical="center"/>
    </xf>
    <xf numFmtId="0" fontId="106" fillId="0" borderId="4" xfId="0" applyFont="1" applyFill="1" applyBorder="1"/>
    <xf numFmtId="0" fontId="107" fillId="0" borderId="88" xfId="0" applyFont="1" applyFill="1" applyBorder="1"/>
    <xf numFmtId="0" fontId="108" fillId="0" borderId="172" xfId="0" applyFont="1" applyFill="1" applyBorder="1"/>
    <xf numFmtId="0" fontId="110" fillId="2" borderId="0" xfId="0" applyFont="1" applyFill="1" applyBorder="1" applyAlignment="1">
      <alignment horizontal="left" vertical="center"/>
    </xf>
    <xf numFmtId="0" fontId="111" fillId="2" borderId="0" xfId="0" applyFont="1" applyFill="1" applyBorder="1" applyAlignment="1">
      <alignment horizontal="left" vertical="center"/>
    </xf>
    <xf numFmtId="0" fontId="2" fillId="0" borderId="0" xfId="1" applyFont="1" applyFill="1" applyBorder="1" applyAlignment="1" applyProtection="1"/>
    <xf numFmtId="0" fontId="2" fillId="0" borderId="17" xfId="1" applyFont="1" applyFill="1" applyBorder="1" applyAlignment="1" applyProtection="1"/>
    <xf numFmtId="0" fontId="2" fillId="0" borderId="7" xfId="1" applyFont="1" applyFill="1" applyBorder="1" applyAlignment="1" applyProtection="1"/>
    <xf numFmtId="0" fontId="2" fillId="2" borderId="173" xfId="1" applyFont="1" applyFill="1" applyBorder="1" applyAlignment="1" applyProtection="1"/>
    <xf numFmtId="0" fontId="0" fillId="3" borderId="2" xfId="0" applyFill="1" applyBorder="1" applyAlignment="1">
      <alignment vertical="center"/>
    </xf>
    <xf numFmtId="0" fontId="0" fillId="0" borderId="110" xfId="0" applyFill="1" applyBorder="1" applyAlignment="1">
      <alignment vertical="center"/>
    </xf>
    <xf numFmtId="0" fontId="0" fillId="0" borderId="104" xfId="0" applyFill="1" applyBorder="1" applyAlignment="1">
      <alignment vertical="center"/>
    </xf>
    <xf numFmtId="0" fontId="0" fillId="0" borderId="0" xfId="0" applyFill="1" applyBorder="1" applyAlignment="1">
      <alignment horizontal="left" vertical="center"/>
    </xf>
    <xf numFmtId="0" fontId="0" fillId="0" borderId="17" xfId="0" applyFill="1" applyBorder="1" applyAlignment="1">
      <alignment horizontal="left" vertical="center"/>
    </xf>
    <xf numFmtId="0" fontId="0" fillId="0" borderId="9" xfId="0" applyFill="1" applyBorder="1" applyAlignment="1">
      <alignment horizontal="left" vertical="center"/>
    </xf>
    <xf numFmtId="0" fontId="0" fillId="0" borderId="2" xfId="0" applyFill="1" applyBorder="1" applyAlignment="1">
      <alignment horizontal="left" vertical="center"/>
    </xf>
    <xf numFmtId="0" fontId="0" fillId="0" borderId="6" xfId="0" applyFill="1" applyBorder="1" applyAlignment="1">
      <alignment horizontal="left" vertical="center"/>
    </xf>
    <xf numFmtId="0" fontId="34" fillId="3" borderId="127" xfId="0" applyFont="1" applyFill="1" applyBorder="1" applyAlignment="1">
      <alignment vertical="center"/>
    </xf>
    <xf numFmtId="0" fontId="0" fillId="0" borderId="111" xfId="0" applyBorder="1" applyAlignment="1">
      <alignment horizontal="left" vertical="center" wrapText="1"/>
    </xf>
    <xf numFmtId="0" fontId="0" fillId="0" borderId="114" xfId="0" applyBorder="1" applyAlignment="1">
      <alignment horizontal="left" vertical="center" wrapText="1"/>
    </xf>
    <xf numFmtId="0" fontId="0" fillId="0" borderId="174" xfId="0" applyBorder="1" applyAlignment="1">
      <alignment horizontal="left" vertical="center" wrapText="1"/>
    </xf>
    <xf numFmtId="0" fontId="0" fillId="0" borderId="175" xfId="0" applyBorder="1" applyAlignment="1">
      <alignment horizontal="left" vertical="center" wrapText="1"/>
    </xf>
    <xf numFmtId="0" fontId="48" fillId="0" borderId="176" xfId="0" applyFont="1" applyFill="1" applyBorder="1" applyAlignment="1">
      <alignment horizontal="left"/>
    </xf>
    <xf numFmtId="0" fontId="48" fillId="2" borderId="0" xfId="0" applyFont="1" applyFill="1" applyBorder="1" applyAlignment="1">
      <alignment horizontal="left"/>
    </xf>
    <xf numFmtId="0" fontId="71" fillId="2" borderId="42" xfId="0" applyFont="1" applyFill="1" applyBorder="1" applyAlignment="1">
      <alignment horizontal="center"/>
    </xf>
    <xf numFmtId="0" fontId="48" fillId="2" borderId="41" xfId="0" applyFont="1" applyFill="1" applyBorder="1" applyAlignment="1">
      <alignment horizontal="center"/>
    </xf>
    <xf numFmtId="0" fontId="8" fillId="2" borderId="4" xfId="0" applyFont="1" applyFill="1" applyBorder="1" applyAlignment="1">
      <alignment horizontal="center"/>
    </xf>
    <xf numFmtId="0" fontId="24" fillId="2" borderId="5" xfId="0" applyFont="1" applyFill="1" applyBorder="1" applyAlignment="1">
      <alignment horizontal="center"/>
    </xf>
    <xf numFmtId="0" fontId="48" fillId="2" borderId="42" xfId="0" applyFont="1" applyFill="1" applyBorder="1" applyAlignment="1">
      <alignment horizontal="left"/>
    </xf>
    <xf numFmtId="0" fontId="48" fillId="2" borderId="177" xfId="0" applyFont="1" applyFill="1" applyBorder="1" applyAlignment="1">
      <alignment horizontal="left"/>
    </xf>
    <xf numFmtId="0" fontId="48" fillId="2" borderId="43" xfId="0" applyFont="1" applyFill="1" applyBorder="1" applyAlignment="1">
      <alignment horizontal="left"/>
    </xf>
    <xf numFmtId="0" fontId="48" fillId="2" borderId="178" xfId="0" applyFont="1" applyFill="1" applyBorder="1" applyAlignment="1">
      <alignment horizontal="left"/>
    </xf>
    <xf numFmtId="0" fontId="6" fillId="2" borderId="43" xfId="0" applyFont="1" applyFill="1" applyBorder="1" applyAlignment="1">
      <alignment horizontal="right" indent="1"/>
    </xf>
    <xf numFmtId="0" fontId="6" fillId="2" borderId="42" xfId="0" applyFont="1" applyFill="1" applyBorder="1" applyAlignment="1">
      <alignment horizontal="center"/>
    </xf>
    <xf numFmtId="0" fontId="1" fillId="2" borderId="42" xfId="0" applyFont="1" applyFill="1" applyBorder="1" applyAlignment="1">
      <alignment horizontal="center"/>
    </xf>
    <xf numFmtId="0" fontId="112" fillId="2" borderId="0" xfId="0" applyFont="1" applyFill="1" applyBorder="1" applyAlignment="1" applyProtection="1">
      <protection locked="0"/>
    </xf>
    <xf numFmtId="0" fontId="112" fillId="2" borderId="0" xfId="0" applyFont="1" applyFill="1" applyBorder="1" applyAlignment="1" applyProtection="1">
      <alignment horizontal="center"/>
      <protection locked="0"/>
    </xf>
    <xf numFmtId="0" fontId="38" fillId="2" borderId="136" xfId="0" applyFont="1" applyFill="1" applyBorder="1" applyAlignment="1">
      <alignment horizontal="center" vertical="center" wrapText="1"/>
    </xf>
    <xf numFmtId="0" fontId="38" fillId="3" borderId="0" xfId="0" applyFont="1" applyFill="1" applyBorder="1" applyAlignment="1">
      <alignment horizontal="left"/>
    </xf>
    <xf numFmtId="0" fontId="24" fillId="0" borderId="59" xfId="0" applyFont="1" applyFill="1" applyBorder="1" applyAlignment="1">
      <alignment vertical="center"/>
    </xf>
    <xf numFmtId="0" fontId="15" fillId="2" borderId="0" xfId="0" applyFont="1" applyFill="1" applyBorder="1" applyAlignment="1"/>
    <xf numFmtId="0" fontId="82" fillId="2" borderId="141" xfId="0" applyFont="1" applyFill="1" applyBorder="1" applyAlignment="1">
      <alignment horizontal="left" vertical="center"/>
    </xf>
    <xf numFmtId="0" fontId="38" fillId="2" borderId="41" xfId="0" applyFont="1" applyFill="1" applyBorder="1" applyAlignment="1">
      <alignment wrapText="1"/>
    </xf>
    <xf numFmtId="0" fontId="20" fillId="2" borderId="41" xfId="0" applyFont="1" applyFill="1" applyBorder="1" applyAlignment="1">
      <alignment horizontal="left"/>
    </xf>
    <xf numFmtId="0" fontId="48" fillId="2" borderId="0" xfId="0" applyFont="1" applyFill="1" applyBorder="1" applyAlignment="1">
      <alignment horizontal="center" vertical="center"/>
    </xf>
    <xf numFmtId="0" fontId="24" fillId="0" borderId="58" xfId="0" applyFont="1" applyFill="1" applyBorder="1" applyAlignment="1">
      <alignment vertical="center"/>
    </xf>
    <xf numFmtId="0" fontId="112" fillId="2" borderId="41" xfId="0" applyFont="1" applyFill="1" applyBorder="1" applyAlignment="1" applyProtection="1">
      <alignment horizontal="center"/>
      <protection hidden="1"/>
    </xf>
    <xf numFmtId="165" fontId="112" fillId="2" borderId="141" xfId="0" applyNumberFormat="1" applyFont="1" applyFill="1" applyBorder="1" applyAlignment="1" applyProtection="1">
      <alignment horizontal="center"/>
      <protection hidden="1"/>
    </xf>
    <xf numFmtId="0" fontId="31" fillId="3" borderId="0" xfId="1" applyFont="1" applyFill="1" applyAlignment="1" applyProtection="1"/>
    <xf numFmtId="3" fontId="44" fillId="2" borderId="116" xfId="0" applyNumberFormat="1" applyFont="1" applyFill="1" applyBorder="1" applyAlignment="1" applyProtection="1">
      <alignment horizontal="center" vertical="center" wrapText="1"/>
      <protection hidden="1"/>
    </xf>
    <xf numFmtId="3" fontId="44" fillId="2" borderId="41" xfId="0" applyNumberFormat="1" applyFont="1" applyFill="1" applyBorder="1" applyAlignment="1" applyProtection="1">
      <alignment horizontal="center" vertical="center" wrapText="1"/>
      <protection hidden="1"/>
    </xf>
    <xf numFmtId="3" fontId="44" fillId="2" borderId="111" xfId="0" applyNumberFormat="1" applyFont="1" applyFill="1" applyBorder="1" applyAlignment="1" applyProtection="1">
      <alignment horizontal="center" vertical="center" wrapText="1"/>
      <protection hidden="1"/>
    </xf>
    <xf numFmtId="3" fontId="45" fillId="0" borderId="179" xfId="0" applyNumberFormat="1" applyFont="1" applyBorder="1" applyAlignment="1" applyProtection="1">
      <alignment horizontal="center" vertical="center" wrapText="1"/>
      <protection hidden="1"/>
    </xf>
    <xf numFmtId="3" fontId="45" fillId="0" borderId="180" xfId="0" applyNumberFormat="1" applyFont="1" applyBorder="1" applyAlignment="1" applyProtection="1">
      <alignment horizontal="center" vertical="center" wrapText="1"/>
      <protection hidden="1"/>
    </xf>
    <xf numFmtId="3" fontId="45" fillId="0" borderId="181" xfId="0" applyNumberFormat="1" applyFont="1" applyBorder="1" applyAlignment="1" applyProtection="1">
      <alignment horizontal="center" vertical="center" wrapText="1"/>
      <protection hidden="1"/>
    </xf>
    <xf numFmtId="3" fontId="46" fillId="0" borderId="182" xfId="0" applyNumberFormat="1" applyFont="1" applyBorder="1" applyAlignment="1" applyProtection="1">
      <alignment horizontal="center" vertical="center"/>
      <protection hidden="1"/>
    </xf>
    <xf numFmtId="3" fontId="46" fillId="0" borderId="181" xfId="0" applyNumberFormat="1" applyFont="1" applyBorder="1" applyAlignment="1" applyProtection="1">
      <alignment horizontal="center" vertical="center"/>
      <protection hidden="1"/>
    </xf>
    <xf numFmtId="3" fontId="55" fillId="0" borderId="151" xfId="0" applyNumberFormat="1" applyFont="1" applyBorder="1" applyAlignment="1" applyProtection="1">
      <alignment horizontal="center" vertical="center" wrapText="1"/>
      <protection hidden="1"/>
    </xf>
    <xf numFmtId="3" fontId="46" fillId="0" borderId="180" xfId="0" applyNumberFormat="1" applyFont="1" applyBorder="1" applyAlignment="1" applyProtection="1">
      <alignment horizontal="center" vertical="center"/>
      <protection hidden="1"/>
    </xf>
    <xf numFmtId="3" fontId="46" fillId="0" borderId="183" xfId="0" applyNumberFormat="1" applyFont="1" applyBorder="1" applyAlignment="1" applyProtection="1">
      <alignment horizontal="center" vertical="center"/>
      <protection hidden="1"/>
    </xf>
    <xf numFmtId="3" fontId="46" fillId="0" borderId="184" xfId="0" applyNumberFormat="1" applyFont="1" applyBorder="1" applyAlignment="1" applyProtection="1">
      <alignment horizontal="center" vertical="center"/>
      <protection hidden="1"/>
    </xf>
    <xf numFmtId="3" fontId="46" fillId="0" borderId="185" xfId="0" applyNumberFormat="1" applyFont="1" applyBorder="1" applyAlignment="1" applyProtection="1">
      <alignment horizontal="center" vertical="center"/>
      <protection hidden="1"/>
    </xf>
    <xf numFmtId="3" fontId="44" fillId="0" borderId="186" xfId="0" applyNumberFormat="1" applyFont="1" applyFill="1" applyBorder="1" applyAlignment="1" applyProtection="1">
      <alignment horizontal="center" vertical="center" wrapText="1"/>
      <protection hidden="1"/>
    </xf>
    <xf numFmtId="3" fontId="44" fillId="0" borderId="90" xfId="0" applyNumberFormat="1" applyFont="1" applyFill="1" applyBorder="1" applyAlignment="1" applyProtection="1">
      <alignment horizontal="center" vertical="center" wrapText="1"/>
      <protection hidden="1"/>
    </xf>
    <xf numFmtId="3" fontId="44" fillId="0" borderId="90" xfId="0" applyNumberFormat="1" applyFont="1" applyBorder="1" applyAlignment="1" applyProtection="1">
      <alignment horizontal="center" vertical="center" wrapText="1"/>
      <protection hidden="1"/>
    </xf>
    <xf numFmtId="3" fontId="44" fillId="0" borderId="186" xfId="0" applyNumberFormat="1" applyFont="1" applyBorder="1" applyAlignment="1" applyProtection="1">
      <alignment horizontal="center" vertical="center" wrapText="1"/>
      <protection hidden="1"/>
    </xf>
    <xf numFmtId="3" fontId="46" fillId="3" borderId="187" xfId="0" applyNumberFormat="1" applyFont="1" applyFill="1" applyBorder="1" applyAlignment="1" applyProtection="1">
      <alignment horizontal="center" vertical="center"/>
      <protection hidden="1"/>
    </xf>
    <xf numFmtId="3" fontId="46" fillId="3" borderId="188" xfId="0" applyNumberFormat="1" applyFont="1" applyFill="1" applyBorder="1" applyAlignment="1" applyProtection="1">
      <alignment horizontal="center" vertical="center"/>
      <protection hidden="1"/>
    </xf>
    <xf numFmtId="3" fontId="46" fillId="3" borderId="0" xfId="0" applyNumberFormat="1" applyFont="1" applyFill="1" applyBorder="1" applyAlignment="1" applyProtection="1">
      <alignment horizontal="center" vertical="center"/>
      <protection hidden="1"/>
    </xf>
    <xf numFmtId="3" fontId="46" fillId="0" borderId="189" xfId="0" applyNumberFormat="1" applyFont="1" applyBorder="1" applyAlignment="1" applyProtection="1">
      <alignment horizontal="center" vertical="center"/>
      <protection hidden="1"/>
    </xf>
    <xf numFmtId="3" fontId="46" fillId="0" borderId="190" xfId="0" applyNumberFormat="1" applyFont="1" applyBorder="1" applyAlignment="1" applyProtection="1">
      <alignment horizontal="center" vertical="center"/>
      <protection hidden="1"/>
    </xf>
    <xf numFmtId="3" fontId="46" fillId="0" borderId="191" xfId="0" applyNumberFormat="1" applyFont="1" applyFill="1" applyBorder="1" applyAlignment="1" applyProtection="1">
      <alignment horizontal="center" vertical="center"/>
      <protection hidden="1"/>
    </xf>
    <xf numFmtId="3" fontId="46" fillId="0" borderId="192" xfId="0" applyNumberFormat="1" applyFont="1" applyFill="1" applyBorder="1" applyAlignment="1" applyProtection="1">
      <alignment horizontal="center" vertical="center"/>
      <protection hidden="1"/>
    </xf>
    <xf numFmtId="3" fontId="46" fillId="0" borderId="193" xfId="0" applyNumberFormat="1" applyFont="1" applyBorder="1" applyAlignment="1" applyProtection="1">
      <alignment horizontal="center" vertical="center"/>
      <protection hidden="1"/>
    </xf>
    <xf numFmtId="3" fontId="46" fillId="0" borderId="31" xfId="0" applyNumberFormat="1" applyFont="1" applyBorder="1" applyAlignment="1" applyProtection="1">
      <alignment horizontal="center" vertical="center"/>
      <protection hidden="1"/>
    </xf>
    <xf numFmtId="3" fontId="46" fillId="0" borderId="0" xfId="0" applyNumberFormat="1" applyFont="1" applyBorder="1" applyAlignment="1" applyProtection="1">
      <alignment horizontal="center" vertical="center"/>
      <protection hidden="1"/>
    </xf>
    <xf numFmtId="3" fontId="46" fillId="3" borderId="101" xfId="0" applyNumberFormat="1" applyFont="1" applyFill="1" applyBorder="1" applyAlignment="1" applyProtection="1">
      <alignment horizontal="center" vertical="center"/>
      <protection hidden="1"/>
    </xf>
    <xf numFmtId="3" fontId="46" fillId="0" borderId="2" xfId="0" applyNumberFormat="1" applyFont="1" applyBorder="1" applyAlignment="1" applyProtection="1">
      <alignment horizontal="center" vertical="center"/>
      <protection hidden="1"/>
    </xf>
    <xf numFmtId="3" fontId="46" fillId="3" borderId="194" xfId="0" applyNumberFormat="1" applyFont="1" applyFill="1" applyBorder="1" applyAlignment="1" applyProtection="1">
      <alignment horizontal="center" vertical="center"/>
      <protection hidden="1"/>
    </xf>
    <xf numFmtId="3" fontId="46" fillId="0" borderId="195" xfId="0" applyNumberFormat="1" applyFont="1" applyBorder="1" applyAlignment="1" applyProtection="1">
      <alignment horizontal="center" vertical="center"/>
      <protection hidden="1"/>
    </xf>
    <xf numFmtId="3" fontId="44" fillId="2" borderId="196" xfId="0" applyNumberFormat="1" applyFont="1" applyFill="1" applyBorder="1" applyAlignment="1" applyProtection="1">
      <alignment horizontal="center" vertical="center" wrapText="1"/>
      <protection hidden="1"/>
    </xf>
    <xf numFmtId="3" fontId="44" fillId="2" borderId="186" xfId="0" applyNumberFormat="1" applyFont="1" applyFill="1" applyBorder="1" applyAlignment="1" applyProtection="1">
      <alignment horizontal="center" vertical="center" wrapText="1"/>
      <protection hidden="1"/>
    </xf>
    <xf numFmtId="3" fontId="46" fillId="0" borderId="197" xfId="0" applyNumberFormat="1" applyFont="1" applyBorder="1" applyAlignment="1" applyProtection="1">
      <alignment horizontal="center" vertical="center"/>
      <protection hidden="1"/>
    </xf>
    <xf numFmtId="3" fontId="46" fillId="0" borderId="157" xfId="0" applyNumberFormat="1" applyFont="1" applyBorder="1" applyAlignment="1" applyProtection="1">
      <alignment horizontal="center" vertical="center"/>
      <protection hidden="1"/>
    </xf>
    <xf numFmtId="3" fontId="46" fillId="0" borderId="192" xfId="0" applyNumberFormat="1" applyFont="1" applyBorder="1" applyAlignment="1" applyProtection="1">
      <alignment horizontal="center" vertical="center"/>
      <protection hidden="1"/>
    </xf>
    <xf numFmtId="3" fontId="46" fillId="2" borderId="44" xfId="0" applyNumberFormat="1" applyFont="1" applyFill="1" applyBorder="1" applyAlignment="1" applyProtection="1">
      <alignment horizontal="center" vertical="center"/>
      <protection hidden="1"/>
    </xf>
    <xf numFmtId="3" fontId="46" fillId="0" borderId="44" xfId="0" applyNumberFormat="1" applyFont="1" applyBorder="1" applyAlignment="1" applyProtection="1">
      <alignment horizontal="center" vertical="center"/>
      <protection hidden="1"/>
    </xf>
    <xf numFmtId="3" fontId="47" fillId="0" borderId="198" xfId="0" applyNumberFormat="1" applyFont="1" applyFill="1" applyBorder="1" applyAlignment="1" applyProtection="1">
      <alignment horizontal="center" vertical="center"/>
      <protection hidden="1"/>
    </xf>
    <xf numFmtId="0" fontId="0" fillId="0" borderId="199" xfId="0" applyBorder="1"/>
    <xf numFmtId="0" fontId="0" fillId="0" borderId="58" xfId="0" applyFill="1" applyBorder="1"/>
    <xf numFmtId="0" fontId="0" fillId="0" borderId="200" xfId="0" applyFill="1" applyBorder="1"/>
    <xf numFmtId="0" fontId="7" fillId="0" borderId="58" xfId="0" applyFont="1" applyFill="1" applyBorder="1" applyAlignment="1">
      <alignment horizontal="left" vertical="center"/>
    </xf>
    <xf numFmtId="0" fontId="7" fillId="0" borderId="201" xfId="0" applyFont="1" applyFill="1" applyBorder="1" applyAlignment="1">
      <alignment horizontal="left" vertical="center"/>
    </xf>
    <xf numFmtId="3" fontId="74" fillId="2" borderId="44" xfId="0" applyNumberFormat="1" applyFont="1" applyFill="1" applyBorder="1" applyAlignment="1">
      <alignment horizontal="center" vertical="center"/>
    </xf>
    <xf numFmtId="3" fontId="46" fillId="2" borderId="97" xfId="0" applyNumberFormat="1" applyFont="1" applyFill="1" applyBorder="1" applyAlignment="1" applyProtection="1">
      <alignment horizontal="center" vertical="center"/>
      <protection hidden="1"/>
    </xf>
    <xf numFmtId="0" fontId="10" fillId="0" borderId="58" xfId="0" applyFont="1" applyFill="1" applyBorder="1"/>
    <xf numFmtId="0" fontId="0" fillId="0" borderId="178" xfId="0" applyFill="1" applyBorder="1"/>
    <xf numFmtId="0" fontId="10" fillId="0" borderId="178" xfId="0" applyFont="1" applyFill="1" applyBorder="1"/>
    <xf numFmtId="0" fontId="39" fillId="5" borderId="97" xfId="0" applyFont="1" applyFill="1" applyBorder="1"/>
    <xf numFmtId="3" fontId="74" fillId="5" borderId="202" xfId="0" applyNumberFormat="1" applyFont="1" applyFill="1" applyBorder="1" applyAlignment="1">
      <alignment horizontal="center" vertical="center"/>
    </xf>
    <xf numFmtId="3" fontId="74" fillId="5" borderId="114" xfId="0" applyNumberFormat="1" applyFont="1" applyFill="1" applyBorder="1" applyAlignment="1">
      <alignment horizontal="center" vertical="center"/>
    </xf>
    <xf numFmtId="3" fontId="74" fillId="5" borderId="203" xfId="0" applyNumberFormat="1" applyFont="1" applyFill="1" applyBorder="1" applyAlignment="1">
      <alignment horizontal="center" vertical="center"/>
    </xf>
    <xf numFmtId="0" fontId="13" fillId="5" borderId="97" xfId="0" applyFont="1" applyFill="1" applyBorder="1" applyAlignment="1">
      <alignment vertical="center"/>
    </xf>
    <xf numFmtId="0" fontId="13" fillId="5" borderId="204" xfId="0" applyFont="1" applyFill="1" applyBorder="1" applyAlignment="1">
      <alignment vertical="center"/>
    </xf>
    <xf numFmtId="0" fontId="113" fillId="3" borderId="60" xfId="0" applyFont="1" applyFill="1" applyBorder="1" applyAlignment="1">
      <alignment horizontal="left" vertical="center"/>
    </xf>
    <xf numFmtId="0" fontId="114" fillId="3" borderId="41" xfId="0" applyFont="1" applyFill="1" applyBorder="1"/>
    <xf numFmtId="0" fontId="113" fillId="3" borderId="60" xfId="0" applyFont="1" applyFill="1" applyBorder="1" applyAlignment="1">
      <alignment horizontal="left"/>
    </xf>
    <xf numFmtId="0" fontId="114" fillId="3" borderId="0" xfId="0" applyFont="1" applyFill="1"/>
    <xf numFmtId="0" fontId="113" fillId="3" borderId="0" xfId="0" applyFont="1" applyFill="1"/>
    <xf numFmtId="0" fontId="115" fillId="3" borderId="41" xfId="0" applyFont="1" applyFill="1" applyBorder="1"/>
    <xf numFmtId="0" fontId="29" fillId="2" borderId="0" xfId="0" applyFont="1" applyFill="1" applyBorder="1"/>
    <xf numFmtId="3" fontId="51" fillId="2" borderId="0" xfId="0" applyNumberFormat="1" applyFont="1" applyFill="1" applyBorder="1" applyAlignment="1">
      <alignment horizontal="center" vertical="center"/>
    </xf>
    <xf numFmtId="0" fontId="1" fillId="2" borderId="0" xfId="0" applyFont="1" applyFill="1" applyBorder="1" applyAlignment="1">
      <alignment horizontal="center"/>
    </xf>
    <xf numFmtId="0" fontId="1" fillId="2" borderId="0" xfId="0" applyFont="1" applyFill="1" applyBorder="1" applyAlignment="1">
      <alignment horizontal="right"/>
    </xf>
    <xf numFmtId="3" fontId="34" fillId="2" borderId="0" xfId="0" applyNumberFormat="1" applyFont="1" applyFill="1" applyBorder="1" applyAlignment="1">
      <alignment horizontal="left" vertical="center"/>
    </xf>
    <xf numFmtId="0" fontId="10" fillId="0" borderId="12" xfId="0" applyFont="1" applyFill="1" applyBorder="1" applyAlignment="1">
      <alignment vertical="center"/>
    </xf>
    <xf numFmtId="3" fontId="44" fillId="0" borderId="41" xfId="0" applyNumberFormat="1" applyFont="1" applyFill="1" applyBorder="1" applyAlignment="1" applyProtection="1">
      <alignment horizontal="center" vertical="center" wrapText="1"/>
      <protection hidden="1"/>
    </xf>
    <xf numFmtId="3" fontId="44" fillId="0" borderId="205" xfId="0" applyNumberFormat="1" applyFont="1" applyFill="1" applyBorder="1" applyAlignment="1" applyProtection="1">
      <alignment horizontal="center" vertical="center" wrapText="1"/>
      <protection hidden="1"/>
    </xf>
    <xf numFmtId="3" fontId="46" fillId="0" borderId="206" xfId="0" applyNumberFormat="1" applyFont="1" applyFill="1" applyBorder="1" applyAlignment="1" applyProtection="1">
      <alignment horizontal="center" vertical="center"/>
      <protection hidden="1"/>
    </xf>
    <xf numFmtId="3" fontId="46" fillId="0" borderId="207" xfId="0" applyNumberFormat="1" applyFont="1" applyFill="1" applyBorder="1" applyAlignment="1" applyProtection="1">
      <alignment horizontal="center" vertical="center"/>
      <protection hidden="1"/>
    </xf>
    <xf numFmtId="3" fontId="46" fillId="0" borderId="208" xfId="0" applyNumberFormat="1" applyFont="1" applyFill="1" applyBorder="1" applyAlignment="1" applyProtection="1">
      <alignment horizontal="center" vertical="center"/>
      <protection hidden="1"/>
    </xf>
    <xf numFmtId="3" fontId="46" fillId="0" borderId="97" xfId="0" applyNumberFormat="1" applyFont="1" applyFill="1" applyBorder="1" applyAlignment="1" applyProtection="1">
      <alignment horizontal="center" vertical="center"/>
      <protection hidden="1"/>
    </xf>
    <xf numFmtId="3" fontId="46" fillId="0" borderId="209" xfId="0" applyNumberFormat="1" applyFont="1" applyFill="1" applyBorder="1" applyAlignment="1" applyProtection="1">
      <alignment horizontal="center" vertical="center"/>
      <protection hidden="1"/>
    </xf>
    <xf numFmtId="3" fontId="46" fillId="0" borderId="44" xfId="0" applyNumberFormat="1" applyFont="1" applyFill="1" applyBorder="1" applyAlignment="1" applyProtection="1">
      <alignment horizontal="center" vertical="center"/>
      <protection hidden="1"/>
    </xf>
    <xf numFmtId="49" fontId="18" fillId="3" borderId="210" xfId="0" applyNumberFormat="1" applyFont="1" applyFill="1" applyBorder="1" applyAlignment="1">
      <alignment horizontal="center" vertical="center"/>
    </xf>
    <xf numFmtId="49" fontId="18" fillId="3" borderId="211" xfId="0" applyNumberFormat="1" applyFont="1" applyFill="1" applyBorder="1" applyAlignment="1">
      <alignment horizontal="center" vertical="center"/>
    </xf>
    <xf numFmtId="49" fontId="18" fillId="3" borderId="41" xfId="0" applyNumberFormat="1" applyFont="1" applyFill="1" applyBorder="1" applyAlignment="1">
      <alignment horizontal="center" vertical="center"/>
    </xf>
    <xf numFmtId="49" fontId="18" fillId="3" borderId="212" xfId="0" applyNumberFormat="1" applyFont="1" applyFill="1" applyBorder="1" applyAlignment="1">
      <alignment horizontal="center" vertical="center"/>
    </xf>
    <xf numFmtId="49" fontId="18" fillId="3" borderId="213" xfId="0" applyNumberFormat="1" applyFont="1" applyFill="1" applyBorder="1" applyAlignment="1">
      <alignment horizontal="center" vertical="center"/>
    </xf>
    <xf numFmtId="49" fontId="18" fillId="3" borderId="214" xfId="0" applyNumberFormat="1" applyFont="1" applyFill="1" applyBorder="1" applyAlignment="1">
      <alignment horizontal="center" vertical="center"/>
    </xf>
    <xf numFmtId="49" fontId="18" fillId="3" borderId="215" xfId="0" applyNumberFormat="1" applyFont="1" applyFill="1" applyBorder="1" applyAlignment="1">
      <alignment horizontal="center" vertical="center"/>
    </xf>
    <xf numFmtId="49" fontId="18" fillId="3" borderId="216" xfId="0" applyNumberFormat="1" applyFont="1" applyFill="1" applyBorder="1" applyAlignment="1">
      <alignment horizontal="center" vertical="center"/>
    </xf>
    <xf numFmtId="49" fontId="18" fillId="3" borderId="205" xfId="0" applyNumberFormat="1" applyFont="1" applyFill="1" applyBorder="1" applyAlignment="1">
      <alignment horizontal="center" vertical="center"/>
    </xf>
    <xf numFmtId="49" fontId="18" fillId="3" borderId="217" xfId="0" applyNumberFormat="1" applyFont="1" applyFill="1" applyBorder="1" applyAlignment="1">
      <alignment horizontal="center" vertical="center"/>
    </xf>
    <xf numFmtId="49" fontId="18" fillId="3" borderId="218" xfId="0" applyNumberFormat="1" applyFont="1" applyFill="1" applyBorder="1" applyAlignment="1">
      <alignment horizontal="center" vertical="center"/>
    </xf>
    <xf numFmtId="3" fontId="46" fillId="0" borderId="208" xfId="0" applyNumberFormat="1" applyFont="1" applyBorder="1" applyAlignment="1" applyProtection="1">
      <alignment horizontal="center" vertical="center"/>
      <protection hidden="1"/>
    </xf>
    <xf numFmtId="49" fontId="18" fillId="0" borderId="219" xfId="0" applyNumberFormat="1" applyFont="1" applyBorder="1" applyAlignment="1">
      <alignment horizontal="left" vertical="center"/>
    </xf>
    <xf numFmtId="0" fontId="1" fillId="0" borderId="209" xfId="0" applyFont="1" applyBorder="1"/>
    <xf numFmtId="3" fontId="47" fillId="0" borderId="44" xfId="0" applyNumberFormat="1" applyFont="1" applyFill="1" applyBorder="1" applyAlignment="1" applyProtection="1">
      <alignment horizontal="center" vertical="center"/>
      <protection hidden="1"/>
    </xf>
    <xf numFmtId="3" fontId="47" fillId="0" borderId="209" xfId="0" applyNumberFormat="1" applyFont="1" applyFill="1" applyBorder="1" applyAlignment="1" applyProtection="1">
      <alignment horizontal="center" vertical="center"/>
      <protection hidden="1"/>
    </xf>
    <xf numFmtId="3" fontId="44" fillId="2" borderId="211" xfId="0" applyNumberFormat="1" applyFont="1" applyFill="1" applyBorder="1" applyAlignment="1" applyProtection="1">
      <alignment horizontal="center" vertical="center" wrapText="1"/>
      <protection hidden="1"/>
    </xf>
    <xf numFmtId="3" fontId="44" fillId="2" borderId="205" xfId="0" applyNumberFormat="1" applyFont="1" applyFill="1" applyBorder="1" applyAlignment="1" applyProtection="1">
      <alignment horizontal="center" vertical="center" wrapText="1"/>
      <protection hidden="1"/>
    </xf>
    <xf numFmtId="3" fontId="44" fillId="2" borderId="220" xfId="0" applyNumberFormat="1" applyFont="1" applyFill="1" applyBorder="1" applyAlignment="1" applyProtection="1">
      <alignment horizontal="center" vertical="center" wrapText="1"/>
      <protection hidden="1"/>
    </xf>
    <xf numFmtId="3" fontId="44" fillId="2" borderId="221" xfId="0" applyNumberFormat="1" applyFont="1" applyFill="1" applyBorder="1" applyAlignment="1" applyProtection="1">
      <alignment horizontal="center" vertical="center" wrapText="1"/>
      <protection hidden="1"/>
    </xf>
    <xf numFmtId="3" fontId="44" fillId="2" borderId="222" xfId="0" applyNumberFormat="1" applyFont="1" applyFill="1" applyBorder="1" applyAlignment="1" applyProtection="1">
      <alignment horizontal="center" vertical="center" wrapText="1"/>
      <protection hidden="1"/>
    </xf>
    <xf numFmtId="3" fontId="44" fillId="2" borderId="223" xfId="0" applyNumberFormat="1" applyFont="1" applyFill="1" applyBorder="1" applyAlignment="1" applyProtection="1">
      <alignment horizontal="center" vertical="center" wrapText="1"/>
      <protection hidden="1"/>
    </xf>
    <xf numFmtId="3" fontId="44" fillId="2" borderId="224" xfId="0" applyNumberFormat="1" applyFont="1" applyFill="1" applyBorder="1" applyAlignment="1" applyProtection="1">
      <alignment horizontal="center" vertical="center" wrapText="1"/>
      <protection hidden="1"/>
    </xf>
    <xf numFmtId="3" fontId="44" fillId="2" borderId="212" xfId="0" applyNumberFormat="1" applyFont="1" applyFill="1" applyBorder="1" applyAlignment="1" applyProtection="1">
      <alignment horizontal="center" vertical="center" wrapText="1"/>
      <protection hidden="1"/>
    </xf>
    <xf numFmtId="3" fontId="44" fillId="2" borderId="215" xfId="0" applyNumberFormat="1" applyFont="1" applyFill="1" applyBorder="1" applyAlignment="1" applyProtection="1">
      <alignment horizontal="center" vertical="center" wrapText="1"/>
      <protection hidden="1"/>
    </xf>
    <xf numFmtId="3" fontId="44" fillId="2" borderId="225" xfId="0" applyNumberFormat="1" applyFont="1" applyFill="1" applyBorder="1" applyAlignment="1" applyProtection="1">
      <alignment horizontal="center" vertical="center" wrapText="1"/>
      <protection hidden="1"/>
    </xf>
    <xf numFmtId="3" fontId="44" fillId="2" borderId="226" xfId="0" applyNumberFormat="1" applyFont="1" applyFill="1" applyBorder="1" applyAlignment="1" applyProtection="1">
      <alignment horizontal="center" vertical="center" wrapText="1"/>
      <protection hidden="1"/>
    </xf>
    <xf numFmtId="3" fontId="44" fillId="2" borderId="210" xfId="0" applyNumberFormat="1" applyFont="1" applyFill="1" applyBorder="1" applyAlignment="1" applyProtection="1">
      <alignment horizontal="center" vertical="center" wrapText="1"/>
      <protection hidden="1"/>
    </xf>
    <xf numFmtId="3" fontId="44" fillId="2" borderId="213" xfId="0" applyNumberFormat="1" applyFont="1" applyFill="1" applyBorder="1" applyAlignment="1" applyProtection="1">
      <alignment horizontal="center" vertical="center" wrapText="1"/>
      <protection hidden="1"/>
    </xf>
    <xf numFmtId="3" fontId="44" fillId="2" borderId="216" xfId="0" applyNumberFormat="1" applyFont="1" applyFill="1" applyBorder="1" applyAlignment="1" applyProtection="1">
      <alignment horizontal="center" vertical="center" wrapText="1"/>
      <protection hidden="1"/>
    </xf>
    <xf numFmtId="49" fontId="18" fillId="3" borderId="116" xfId="0" applyNumberFormat="1" applyFont="1" applyFill="1" applyBorder="1" applyAlignment="1">
      <alignment horizontal="center" vertical="center"/>
    </xf>
    <xf numFmtId="49" fontId="18" fillId="3" borderId="227" xfId="0" applyNumberFormat="1" applyFont="1" applyFill="1" applyBorder="1" applyAlignment="1">
      <alignment horizontal="center" vertical="center"/>
    </xf>
    <xf numFmtId="49" fontId="18" fillId="3" borderId="225" xfId="0" applyNumberFormat="1" applyFont="1" applyFill="1" applyBorder="1" applyAlignment="1">
      <alignment horizontal="center" vertical="center"/>
    </xf>
    <xf numFmtId="49" fontId="18" fillId="3" borderId="228" xfId="0" applyNumberFormat="1" applyFont="1" applyFill="1" applyBorder="1" applyAlignment="1">
      <alignment horizontal="center" vertical="center"/>
    </xf>
    <xf numFmtId="49" fontId="20" fillId="3" borderId="229" xfId="0" applyNumberFormat="1" applyFont="1" applyFill="1" applyBorder="1" applyAlignment="1">
      <alignment horizontal="center" vertical="center"/>
    </xf>
    <xf numFmtId="49" fontId="18" fillId="3" borderId="230" xfId="0" applyNumberFormat="1" applyFont="1" applyFill="1" applyBorder="1" applyAlignment="1">
      <alignment horizontal="center" vertical="center"/>
    </xf>
    <xf numFmtId="0" fontId="18" fillId="0" borderId="231" xfId="0" applyFont="1" applyBorder="1" applyAlignment="1">
      <alignment vertical="center"/>
    </xf>
    <xf numFmtId="3" fontId="78" fillId="2" borderId="232" xfId="0" applyNumberFormat="1" applyFont="1" applyFill="1" applyBorder="1" applyAlignment="1" applyProtection="1">
      <alignment horizontal="center" vertical="center" wrapText="1"/>
      <protection hidden="1"/>
    </xf>
    <xf numFmtId="3" fontId="78" fillId="2" borderId="205" xfId="0" applyNumberFormat="1" applyFont="1" applyFill="1" applyBorder="1" applyAlignment="1" applyProtection="1">
      <alignment horizontal="center" vertical="center" wrapText="1"/>
      <protection hidden="1"/>
    </xf>
    <xf numFmtId="3" fontId="44" fillId="2" borderId="233" xfId="0" applyNumberFormat="1" applyFont="1" applyFill="1" applyBorder="1" applyAlignment="1" applyProtection="1">
      <alignment horizontal="center" vertical="center" wrapText="1"/>
      <protection hidden="1"/>
    </xf>
    <xf numFmtId="0" fontId="56" fillId="0" borderId="234" xfId="0" applyFont="1" applyFill="1" applyBorder="1" applyAlignment="1">
      <alignment vertical="center"/>
    </xf>
    <xf numFmtId="0" fontId="1" fillId="2" borderId="234" xfId="0" applyFont="1" applyFill="1" applyBorder="1" applyAlignment="1">
      <alignment vertical="center"/>
    </xf>
    <xf numFmtId="49" fontId="18" fillId="2" borderId="219" xfId="0" applyNumberFormat="1" applyFont="1" applyFill="1" applyBorder="1" applyAlignment="1">
      <alignment horizontal="left" vertical="center"/>
    </xf>
    <xf numFmtId="0" fontId="10" fillId="2" borderId="12" xfId="0" applyFont="1" applyFill="1" applyBorder="1" applyAlignment="1">
      <alignment vertical="center"/>
    </xf>
    <xf numFmtId="0" fontId="53" fillId="4" borderId="0" xfId="1" applyFont="1" applyFill="1" applyBorder="1" applyAlignment="1" applyProtection="1"/>
    <xf numFmtId="0" fontId="79" fillId="4" borderId="0" xfId="0" applyFont="1" applyFill="1" applyBorder="1" applyAlignment="1">
      <alignment vertical="center"/>
    </xf>
    <xf numFmtId="0" fontId="0" fillId="2" borderId="235" xfId="0" applyFill="1" applyBorder="1"/>
    <xf numFmtId="0" fontId="84" fillId="0" borderId="189" xfId="0" applyFont="1" applyFill="1" applyBorder="1" applyAlignment="1">
      <alignment horizontal="left" vertical="center"/>
    </xf>
    <xf numFmtId="0" fontId="0" fillId="0" borderId="236" xfId="0" applyFill="1" applyBorder="1"/>
    <xf numFmtId="0" fontId="63" fillId="0" borderId="237" xfId="0" applyFont="1" applyFill="1" applyBorder="1" applyAlignment="1">
      <alignment horizontal="left" vertical="center"/>
    </xf>
    <xf numFmtId="0" fontId="61" fillId="0" borderId="238" xfId="0" applyFont="1" applyFill="1" applyBorder="1"/>
    <xf numFmtId="0" fontId="61" fillId="0" borderId="239" xfId="0" applyFont="1" applyFill="1" applyBorder="1"/>
    <xf numFmtId="0" fontId="61" fillId="0" borderId="189" xfId="0" applyFont="1" applyFill="1" applyBorder="1"/>
    <xf numFmtId="0" fontId="61" fillId="0" borderId="236" xfId="0" applyFont="1" applyFill="1" applyBorder="1"/>
    <xf numFmtId="0" fontId="33" fillId="0" borderId="240" xfId="0" applyFont="1" applyFill="1" applyBorder="1"/>
    <xf numFmtId="0" fontId="33" fillId="0" borderId="189" xfId="0" applyFont="1" applyFill="1" applyBorder="1"/>
    <xf numFmtId="0" fontId="10" fillId="4" borderId="241" xfId="0" applyFont="1" applyFill="1" applyBorder="1" applyAlignment="1">
      <alignment vertical="center"/>
    </xf>
    <xf numFmtId="0" fontId="10" fillId="4" borderId="235" xfId="0" applyFont="1" applyFill="1" applyBorder="1" applyAlignment="1">
      <alignment vertical="center"/>
    </xf>
    <xf numFmtId="0" fontId="10" fillId="2" borderId="235" xfId="0" applyFont="1" applyFill="1" applyBorder="1" applyAlignment="1">
      <alignment vertical="center"/>
    </xf>
    <xf numFmtId="0" fontId="10" fillId="2" borderId="242" xfId="0" applyFont="1" applyFill="1" applyBorder="1" applyAlignment="1">
      <alignment vertical="center"/>
    </xf>
    <xf numFmtId="0" fontId="10" fillId="2" borderId="243" xfId="0" applyFont="1" applyFill="1" applyBorder="1" applyAlignment="1">
      <alignment vertical="center"/>
    </xf>
    <xf numFmtId="0" fontId="37" fillId="0" borderId="244" xfId="0" applyFont="1" applyFill="1" applyBorder="1"/>
    <xf numFmtId="0" fontId="37" fillId="0" borderId="189" xfId="0" applyFont="1" applyFill="1" applyBorder="1"/>
    <xf numFmtId="0" fontId="2" fillId="2" borderId="245" xfId="1" applyFont="1" applyFill="1" applyBorder="1" applyAlignment="1" applyProtection="1"/>
    <xf numFmtId="0" fontId="2" fillId="2" borderId="246" xfId="1" applyFont="1" applyFill="1" applyBorder="1" applyAlignment="1" applyProtection="1"/>
    <xf numFmtId="0" fontId="2" fillId="2" borderId="247" xfId="1" applyFont="1" applyFill="1" applyBorder="1" applyAlignment="1" applyProtection="1"/>
    <xf numFmtId="0" fontId="2" fillId="2" borderId="189" xfId="1" applyFont="1" applyFill="1" applyBorder="1" applyAlignment="1" applyProtection="1"/>
    <xf numFmtId="0" fontId="10" fillId="2" borderId="189" xfId="0" applyFont="1" applyFill="1" applyBorder="1" applyAlignment="1">
      <alignment vertical="center"/>
    </xf>
    <xf numFmtId="0" fontId="10" fillId="2" borderId="248" xfId="0" applyFont="1" applyFill="1" applyBorder="1" applyAlignment="1">
      <alignment vertical="center"/>
    </xf>
    <xf numFmtId="0" fontId="37" fillId="0" borderId="236" xfId="0" applyFont="1" applyFill="1" applyBorder="1"/>
    <xf numFmtId="0" fontId="2" fillId="2" borderId="249" xfId="1" applyFont="1" applyFill="1" applyBorder="1" applyAlignment="1" applyProtection="1"/>
    <xf numFmtId="0" fontId="58" fillId="5" borderId="250" xfId="1" applyFont="1" applyFill="1" applyBorder="1" applyAlignment="1" applyProtection="1">
      <alignment vertical="center"/>
    </xf>
    <xf numFmtId="0" fontId="2" fillId="5" borderId="0" xfId="1" applyFont="1" applyFill="1" applyBorder="1" applyAlignment="1" applyProtection="1"/>
    <xf numFmtId="0" fontId="2" fillId="4" borderId="251" xfId="1" applyFont="1" applyFill="1" applyBorder="1" applyAlignment="1" applyProtection="1"/>
    <xf numFmtId="0" fontId="2" fillId="4" borderId="252" xfId="1" applyFont="1" applyFill="1" applyBorder="1" applyAlignment="1" applyProtection="1"/>
    <xf numFmtId="0" fontId="10" fillId="4" borderId="252" xfId="0" applyFont="1" applyFill="1" applyBorder="1" applyAlignment="1">
      <alignment vertical="center"/>
    </xf>
    <xf numFmtId="0" fontId="10" fillId="4" borderId="253" xfId="0" applyFont="1" applyFill="1" applyBorder="1" applyAlignment="1">
      <alignment vertical="center"/>
    </xf>
    <xf numFmtId="0" fontId="2" fillId="5" borderId="254" xfId="1" applyFont="1" applyFill="1" applyBorder="1" applyAlignment="1" applyProtection="1"/>
    <xf numFmtId="0" fontId="65" fillId="5" borderId="254" xfId="0" applyFont="1" applyFill="1" applyBorder="1"/>
    <xf numFmtId="0" fontId="10" fillId="5" borderId="254" xfId="0" applyFont="1" applyFill="1" applyBorder="1" applyAlignment="1">
      <alignment vertical="center"/>
    </xf>
    <xf numFmtId="0" fontId="10" fillId="5" borderId="255" xfId="0" applyFont="1" applyFill="1" applyBorder="1" applyAlignment="1">
      <alignment vertical="center"/>
    </xf>
    <xf numFmtId="0" fontId="23" fillId="0" borderId="256" xfId="0" applyFont="1" applyFill="1" applyBorder="1" applyAlignment="1">
      <alignment horizontal="left" vertical="center"/>
    </xf>
    <xf numFmtId="0" fontId="0" fillId="5" borderId="252" xfId="0" applyFill="1" applyBorder="1"/>
    <xf numFmtId="0" fontId="58" fillId="5" borderId="252" xfId="1" applyFont="1" applyFill="1" applyBorder="1" applyAlignment="1" applyProtection="1">
      <alignment vertical="center"/>
    </xf>
    <xf numFmtId="0" fontId="58" fillId="5" borderId="252" xfId="0" applyFont="1" applyFill="1" applyBorder="1"/>
    <xf numFmtId="0" fontId="10" fillId="5" borderId="252" xfId="0" applyFont="1" applyFill="1" applyBorder="1" applyAlignment="1">
      <alignment vertical="center"/>
    </xf>
    <xf numFmtId="0" fontId="37" fillId="0" borderId="257" xfId="0" applyFont="1" applyFill="1" applyBorder="1"/>
    <xf numFmtId="0" fontId="2" fillId="2" borderId="258" xfId="1" applyFont="1" applyFill="1" applyBorder="1" applyAlignment="1" applyProtection="1"/>
    <xf numFmtId="0" fontId="10" fillId="2" borderId="258" xfId="0" applyFont="1" applyFill="1" applyBorder="1" applyAlignment="1">
      <alignment vertical="center"/>
    </xf>
    <xf numFmtId="0" fontId="10" fillId="5" borderId="259" xfId="0" applyFont="1" applyFill="1" applyBorder="1" applyAlignment="1">
      <alignment vertical="center"/>
    </xf>
    <xf numFmtId="0" fontId="38" fillId="2" borderId="189" xfId="0" applyFont="1" applyFill="1" applyBorder="1"/>
    <xf numFmtId="0" fontId="2" fillId="2" borderId="260" xfId="1" applyFont="1" applyFill="1" applyBorder="1" applyAlignment="1" applyProtection="1"/>
    <xf numFmtId="0" fontId="2" fillId="2" borderId="235" xfId="1" applyFont="1" applyFill="1" applyBorder="1" applyAlignment="1" applyProtection="1"/>
    <xf numFmtId="0" fontId="2" fillId="2" borderId="248" xfId="1" applyFont="1" applyFill="1" applyBorder="1" applyAlignment="1" applyProtection="1"/>
    <xf numFmtId="0" fontId="58" fillId="5" borderId="259" xfId="1" applyFont="1" applyFill="1" applyBorder="1" applyAlignment="1" applyProtection="1">
      <alignment vertical="center"/>
    </xf>
    <xf numFmtId="0" fontId="18" fillId="2" borderId="235" xfId="0" applyFont="1" applyFill="1" applyBorder="1" applyAlignment="1">
      <alignment vertical="center"/>
    </xf>
    <xf numFmtId="0" fontId="58" fillId="5" borderId="261" xfId="1" applyFont="1" applyFill="1" applyBorder="1" applyAlignment="1" applyProtection="1">
      <alignment vertical="center"/>
    </xf>
    <xf numFmtId="0" fontId="10" fillId="5" borderId="261" xfId="0" applyFont="1" applyFill="1" applyBorder="1" applyAlignment="1">
      <alignment vertical="center"/>
    </xf>
    <xf numFmtId="0" fontId="37" fillId="2" borderId="235" xfId="0" applyFont="1" applyFill="1" applyBorder="1"/>
    <xf numFmtId="0" fontId="37" fillId="2" borderId="258" xfId="0" applyFont="1" applyFill="1" applyBorder="1"/>
    <xf numFmtId="0" fontId="23" fillId="2" borderId="235" xfId="0" applyFont="1" applyFill="1" applyBorder="1" applyAlignment="1"/>
    <xf numFmtId="0" fontId="23" fillId="2" borderId="235" xfId="0" applyFont="1" applyFill="1" applyBorder="1" applyAlignment="1">
      <alignment horizontal="left"/>
    </xf>
    <xf numFmtId="0" fontId="26" fillId="2" borderId="235" xfId="0" applyFont="1" applyFill="1" applyBorder="1" applyAlignment="1">
      <alignment horizontal="left"/>
    </xf>
    <xf numFmtId="0" fontId="23" fillId="3" borderId="235" xfId="0" applyFont="1" applyFill="1" applyBorder="1" applyAlignment="1"/>
    <xf numFmtId="0" fontId="23" fillId="2" borderId="262" xfId="0" applyFont="1" applyFill="1" applyBorder="1" applyAlignment="1"/>
    <xf numFmtId="0" fontId="37" fillId="2" borderId="263" xfId="0" applyFont="1" applyFill="1" applyBorder="1" applyAlignment="1"/>
    <xf numFmtId="0" fontId="37" fillId="2" borderId="262" xfId="0" applyFont="1" applyFill="1" applyBorder="1" applyAlignment="1">
      <alignment horizontal="left"/>
    </xf>
    <xf numFmtId="0" fontId="0" fillId="0" borderId="264" xfId="0" applyFill="1" applyBorder="1"/>
    <xf numFmtId="0" fontId="0" fillId="0" borderId="265" xfId="0" applyFill="1" applyBorder="1"/>
    <xf numFmtId="0" fontId="37" fillId="2" borderId="265" xfId="0" applyFont="1" applyFill="1" applyBorder="1" applyAlignment="1"/>
    <xf numFmtId="0" fontId="23" fillId="2" borderId="265" xfId="0" applyFont="1" applyFill="1" applyBorder="1" applyAlignment="1"/>
    <xf numFmtId="0" fontId="23" fillId="2" borderId="266" xfId="0" applyFont="1" applyFill="1" applyBorder="1" applyAlignment="1"/>
    <xf numFmtId="0" fontId="58" fillId="0" borderId="267" xfId="1" applyFont="1" applyFill="1" applyBorder="1" applyAlignment="1" applyProtection="1">
      <alignment vertical="center"/>
    </xf>
    <xf numFmtId="0" fontId="23" fillId="2" borderId="267" xfId="0" applyFont="1" applyFill="1" applyBorder="1" applyAlignment="1">
      <alignment horizontal="left"/>
    </xf>
    <xf numFmtId="0" fontId="26" fillId="2" borderId="267" xfId="0" applyFont="1" applyFill="1" applyBorder="1" applyAlignment="1">
      <alignment horizontal="left"/>
    </xf>
    <xf numFmtId="0" fontId="23" fillId="2" borderId="267" xfId="0" applyFont="1" applyFill="1" applyBorder="1" applyAlignment="1"/>
    <xf numFmtId="0" fontId="23" fillId="0" borderId="267" xfId="0" applyFont="1" applyFill="1" applyBorder="1" applyAlignment="1">
      <alignment vertical="center"/>
    </xf>
    <xf numFmtId="0" fontId="37" fillId="2" borderId="267" xfId="0" applyFont="1" applyFill="1" applyBorder="1" applyAlignment="1">
      <alignment vertical="center"/>
    </xf>
    <xf numFmtId="0" fontId="37" fillId="2" borderId="267" xfId="0" applyFont="1" applyFill="1" applyBorder="1" applyAlignment="1">
      <alignment horizontal="left" vertical="center"/>
    </xf>
    <xf numFmtId="0" fontId="37" fillId="2" borderId="267" xfId="0" applyFont="1" applyFill="1" applyBorder="1" applyAlignment="1"/>
    <xf numFmtId="0" fontId="23" fillId="3" borderId="235" xfId="0" applyFont="1" applyFill="1" applyBorder="1" applyAlignment="1">
      <alignment vertical="center"/>
    </xf>
    <xf numFmtId="0" fontId="37" fillId="2" borderId="262" xfId="0" applyFont="1" applyFill="1" applyBorder="1" applyAlignment="1">
      <alignment vertical="center"/>
    </xf>
    <xf numFmtId="0" fontId="37" fillId="2" borderId="263" xfId="0" applyFont="1" applyFill="1" applyBorder="1" applyAlignment="1">
      <alignment vertical="center"/>
    </xf>
    <xf numFmtId="0" fontId="37" fillId="2" borderId="263" xfId="0" applyFont="1" applyFill="1" applyBorder="1" applyAlignment="1">
      <alignment horizontal="left" vertical="center"/>
    </xf>
    <xf numFmtId="0" fontId="37" fillId="2" borderId="266" xfId="0" applyFont="1" applyFill="1" applyBorder="1" applyAlignment="1"/>
    <xf numFmtId="0" fontId="0" fillId="5" borderId="252" xfId="0" applyFill="1" applyBorder="1" applyAlignment="1"/>
    <xf numFmtId="0" fontId="37" fillId="2" borderId="189" xfId="0" applyFont="1" applyFill="1" applyBorder="1" applyAlignment="1"/>
    <xf numFmtId="0" fontId="0" fillId="0" borderId="189" xfId="0" applyFill="1" applyBorder="1"/>
    <xf numFmtId="0" fontId="23" fillId="2" borderId="189" xfId="0" applyFont="1" applyFill="1" applyBorder="1" applyAlignment="1"/>
    <xf numFmtId="0" fontId="23" fillId="0" borderId="189" xfId="0" applyFont="1" applyFill="1" applyBorder="1" applyAlignment="1"/>
    <xf numFmtId="0" fontId="0" fillId="5" borderId="259" xfId="0" applyFill="1" applyBorder="1" applyAlignment="1"/>
    <xf numFmtId="0" fontId="0" fillId="4" borderId="262" xfId="0" applyFill="1" applyBorder="1" applyAlignment="1">
      <alignment vertical="center"/>
    </xf>
    <xf numFmtId="0" fontId="48" fillId="2" borderId="235" xfId="0" applyFont="1" applyFill="1" applyBorder="1" applyAlignment="1">
      <alignment horizontal="left" vertical="center"/>
    </xf>
    <xf numFmtId="0" fontId="0" fillId="2" borderId="235" xfId="0" applyFill="1" applyBorder="1" applyAlignment="1">
      <alignment horizontal="left" vertical="center"/>
    </xf>
    <xf numFmtId="0" fontId="37" fillId="2" borderId="189" xfId="0" applyFont="1" applyFill="1" applyBorder="1" applyAlignment="1">
      <alignment wrapText="1"/>
    </xf>
    <xf numFmtId="0" fontId="111" fillId="2" borderId="189" xfId="0" applyFont="1" applyFill="1" applyBorder="1" applyAlignment="1">
      <alignment horizontal="left" vertical="center"/>
    </xf>
    <xf numFmtId="0" fontId="0" fillId="2" borderId="189" xfId="0" applyFill="1" applyBorder="1" applyAlignment="1">
      <alignment horizontal="left" vertical="center"/>
    </xf>
    <xf numFmtId="0" fontId="0" fillId="2" borderId="248" xfId="0" applyFill="1" applyBorder="1" applyAlignment="1">
      <alignment horizontal="left" vertical="center"/>
    </xf>
    <xf numFmtId="0" fontId="1" fillId="3" borderId="0" xfId="0" applyFont="1" applyFill="1" applyBorder="1" applyAlignment="1">
      <alignment vertical="center"/>
    </xf>
    <xf numFmtId="3" fontId="46" fillId="3" borderId="268" xfId="0" applyNumberFormat="1" applyFont="1" applyFill="1" applyBorder="1" applyAlignment="1" applyProtection="1">
      <alignment horizontal="center" vertical="center"/>
      <protection hidden="1"/>
    </xf>
    <xf numFmtId="3" fontId="46" fillId="3" borderId="269" xfId="0" applyNumberFormat="1" applyFont="1" applyFill="1" applyBorder="1" applyAlignment="1" applyProtection="1">
      <alignment horizontal="center" vertical="center"/>
      <protection hidden="1"/>
    </xf>
    <xf numFmtId="0" fontId="37" fillId="0" borderId="145" xfId="0" applyFont="1" applyFill="1" applyBorder="1" applyAlignment="1">
      <alignment wrapText="1"/>
    </xf>
    <xf numFmtId="3" fontId="46" fillId="3" borderId="189" xfId="0" applyNumberFormat="1" applyFont="1" applyFill="1" applyBorder="1" applyAlignment="1" applyProtection="1">
      <alignment horizontal="center" vertical="center"/>
      <protection hidden="1"/>
    </xf>
    <xf numFmtId="0" fontId="50" fillId="5" borderId="261" xfId="0" applyFont="1" applyFill="1" applyBorder="1" applyAlignment="1">
      <alignment vertical="center"/>
    </xf>
    <xf numFmtId="0" fontId="50" fillId="5" borderId="270" xfId="0" applyFont="1" applyFill="1" applyBorder="1" applyAlignment="1">
      <alignment horizontal="center" vertical="center"/>
    </xf>
    <xf numFmtId="0" fontId="50" fillId="5" borderId="261" xfId="0" applyFont="1" applyFill="1" applyBorder="1" applyAlignment="1">
      <alignment horizontal="center" vertical="center"/>
    </xf>
    <xf numFmtId="3" fontId="74" fillId="5" borderId="271" xfId="0" applyNumberFormat="1" applyFont="1" applyFill="1" applyBorder="1" applyAlignment="1">
      <alignment horizontal="left" vertical="center"/>
    </xf>
    <xf numFmtId="0" fontId="15" fillId="5" borderId="261" xfId="0" applyFont="1" applyFill="1" applyBorder="1" applyAlignment="1">
      <alignment horizontal="left" vertical="center"/>
    </xf>
    <xf numFmtId="0" fontId="50" fillId="5" borderId="259" xfId="0" applyFont="1" applyFill="1" applyBorder="1" applyAlignment="1">
      <alignment vertical="center"/>
    </xf>
    <xf numFmtId="0" fontId="74" fillId="5" borderId="272" xfId="0" applyFont="1" applyFill="1" applyBorder="1" applyAlignment="1">
      <alignment vertical="center"/>
    </xf>
    <xf numFmtId="0" fontId="92" fillId="3" borderId="0" xfId="0" applyFont="1" applyFill="1" applyBorder="1" applyAlignment="1">
      <alignment horizontal="left" vertical="center"/>
    </xf>
    <xf numFmtId="0" fontId="97" fillId="3" borderId="0" xfId="0" applyFont="1" applyFill="1" applyBorder="1" applyAlignment="1">
      <alignment horizontal="left" vertical="center"/>
    </xf>
    <xf numFmtId="0" fontId="1" fillId="0" borderId="236" xfId="0" applyFont="1" applyBorder="1" applyAlignment="1">
      <alignment vertical="center"/>
    </xf>
    <xf numFmtId="0" fontId="1" fillId="0" borderId="0" xfId="0" applyFont="1" applyFill="1" applyBorder="1" applyAlignment="1">
      <alignment vertical="center"/>
    </xf>
    <xf numFmtId="3" fontId="91" fillId="3" borderId="235" xfId="0" applyNumberFormat="1" applyFont="1" applyFill="1" applyBorder="1" applyAlignment="1">
      <alignment horizontal="left" vertical="center"/>
    </xf>
    <xf numFmtId="0" fontId="0" fillId="3" borderId="235" xfId="0" applyFill="1" applyBorder="1" applyAlignment="1"/>
    <xf numFmtId="0" fontId="74" fillId="5" borderId="252" xfId="0" applyFont="1" applyFill="1" applyBorder="1" applyAlignment="1">
      <alignment vertical="center"/>
    </xf>
    <xf numFmtId="0" fontId="50" fillId="5" borderId="252" xfId="0" applyFont="1" applyFill="1" applyBorder="1" applyAlignment="1">
      <alignment vertical="center"/>
    </xf>
    <xf numFmtId="0" fontId="50" fillId="5" borderId="273" xfId="0" applyFont="1" applyFill="1" applyBorder="1" applyAlignment="1">
      <alignment horizontal="center" vertical="center"/>
    </xf>
    <xf numFmtId="0" fontId="50" fillId="5" borderId="252" xfId="0" applyFont="1" applyFill="1" applyBorder="1" applyAlignment="1">
      <alignment horizontal="center" vertical="center"/>
    </xf>
    <xf numFmtId="3" fontId="74" fillId="5" borderId="252" xfId="0" applyNumberFormat="1" applyFont="1" applyFill="1" applyBorder="1" applyAlignment="1">
      <alignment horizontal="left" vertical="center"/>
    </xf>
    <xf numFmtId="0" fontId="15" fillId="5" borderId="252" xfId="0" applyFont="1" applyFill="1" applyBorder="1" applyAlignment="1">
      <alignment horizontal="left" vertical="center"/>
    </xf>
    <xf numFmtId="0" fontId="50" fillId="5" borderId="253" xfId="0" applyFont="1" applyFill="1" applyBorder="1" applyAlignment="1">
      <alignment vertical="center"/>
    </xf>
    <xf numFmtId="0" fontId="83" fillId="4" borderId="189" xfId="0" applyFont="1" applyFill="1" applyBorder="1" applyAlignment="1">
      <alignment horizontal="left" vertical="center"/>
    </xf>
    <xf numFmtId="0" fontId="2" fillId="4" borderId="189" xfId="0" applyFont="1" applyFill="1" applyBorder="1" applyAlignment="1">
      <alignment vertical="center"/>
    </xf>
    <xf numFmtId="0" fontId="20" fillId="4" borderId="189" xfId="0" applyFont="1" applyFill="1" applyBorder="1" applyAlignment="1">
      <alignment vertical="center"/>
    </xf>
    <xf numFmtId="0" fontId="0" fillId="4" borderId="189" xfId="0" applyFill="1" applyBorder="1" applyAlignment="1"/>
    <xf numFmtId="0" fontId="37" fillId="4" borderId="189" xfId="0" applyFont="1" applyFill="1" applyBorder="1" applyAlignment="1"/>
    <xf numFmtId="0" fontId="37" fillId="4" borderId="189" xfId="0" applyFont="1" applyFill="1" applyBorder="1" applyAlignment="1">
      <alignment vertical="center"/>
    </xf>
    <xf numFmtId="0" fontId="23" fillId="4" borderId="189" xfId="0" applyFont="1" applyFill="1" applyBorder="1" applyAlignment="1"/>
    <xf numFmtId="3" fontId="46" fillId="3" borderId="274" xfId="0" applyNumberFormat="1" applyFont="1" applyFill="1" applyBorder="1" applyAlignment="1" applyProtection="1">
      <alignment horizontal="center" vertical="center"/>
      <protection hidden="1"/>
    </xf>
    <xf numFmtId="3" fontId="46" fillId="0" borderId="235" xfId="0" applyNumberFormat="1" applyFont="1" applyBorder="1" applyAlignment="1">
      <alignment horizontal="center" vertical="center"/>
    </xf>
    <xf numFmtId="0" fontId="2" fillId="2" borderId="275" xfId="0" applyFont="1" applyFill="1" applyBorder="1" applyAlignment="1">
      <alignment vertical="center"/>
    </xf>
    <xf numFmtId="0" fontId="20" fillId="2" borderId="189" xfId="0" applyFont="1" applyFill="1" applyBorder="1" applyAlignment="1">
      <alignment vertical="center"/>
    </xf>
    <xf numFmtId="0" fontId="23" fillId="2" borderId="248" xfId="0" applyFont="1" applyFill="1" applyBorder="1" applyAlignment="1"/>
    <xf numFmtId="0" fontId="88" fillId="2" borderId="189" xfId="0" applyFont="1" applyFill="1" applyBorder="1" applyAlignment="1">
      <alignment horizontal="center" vertical="center"/>
    </xf>
    <xf numFmtId="0" fontId="13" fillId="2" borderId="189" xfId="0" applyFont="1" applyFill="1" applyBorder="1" applyAlignment="1">
      <alignment vertical="center" wrapText="1"/>
    </xf>
    <xf numFmtId="0" fontId="0" fillId="2" borderId="189" xfId="0" applyFill="1" applyBorder="1" applyAlignment="1">
      <alignment wrapText="1"/>
    </xf>
    <xf numFmtId="3" fontId="46" fillId="2" borderId="189" xfId="0" applyNumberFormat="1" applyFont="1" applyFill="1" applyBorder="1" applyAlignment="1">
      <alignment horizontal="center" vertical="center"/>
    </xf>
    <xf numFmtId="0" fontId="10" fillId="2" borderId="236" xfId="0" applyFont="1" applyFill="1" applyBorder="1" applyAlignment="1">
      <alignment vertical="center"/>
    </xf>
    <xf numFmtId="0" fontId="0" fillId="2" borderId="249" xfId="0" applyFill="1" applyBorder="1" applyAlignment="1">
      <alignment vertical="center" wrapText="1"/>
    </xf>
    <xf numFmtId="0" fontId="0" fillId="2" borderId="189" xfId="0" applyFill="1" applyBorder="1" applyAlignment="1">
      <alignment vertical="center" wrapText="1"/>
    </xf>
    <xf numFmtId="0" fontId="48" fillId="2" borderId="236" xfId="0" applyFont="1" applyFill="1" applyBorder="1" applyAlignment="1">
      <alignment vertical="center"/>
    </xf>
    <xf numFmtId="0" fontId="80" fillId="2" borderId="189" xfId="0" applyFont="1" applyFill="1" applyBorder="1" applyAlignment="1">
      <alignment vertical="center" wrapText="1"/>
    </xf>
    <xf numFmtId="0" fontId="2" fillId="2" borderId="189" xfId="0" applyFont="1" applyFill="1" applyBorder="1" applyAlignment="1">
      <alignment vertical="center"/>
    </xf>
    <xf numFmtId="3" fontId="46" fillId="0" borderId="145" xfId="0" applyNumberFormat="1" applyFont="1" applyBorder="1" applyAlignment="1" applyProtection="1">
      <alignment horizontal="center" vertical="center"/>
      <protection hidden="1"/>
    </xf>
    <xf numFmtId="0" fontId="20" fillId="2" borderId="275" xfId="0" applyFont="1" applyFill="1" applyBorder="1" applyAlignment="1">
      <alignment vertical="center"/>
    </xf>
    <xf numFmtId="3" fontId="46" fillId="0" borderId="276" xfId="0" applyNumberFormat="1" applyFont="1" applyBorder="1" applyAlignment="1" applyProtection="1">
      <alignment horizontal="center" vertical="center"/>
      <protection hidden="1"/>
    </xf>
    <xf numFmtId="0" fontId="20" fillId="2" borderId="190" xfId="0" applyFont="1" applyFill="1" applyBorder="1" applyAlignment="1">
      <alignment vertical="center"/>
    </xf>
    <xf numFmtId="0" fontId="58" fillId="5" borderId="272" xfId="1" applyFont="1" applyFill="1" applyBorder="1" applyAlignment="1" applyProtection="1">
      <alignment vertical="center"/>
    </xf>
    <xf numFmtId="0" fontId="0" fillId="5" borderId="261" xfId="0" applyFill="1" applyBorder="1"/>
    <xf numFmtId="0" fontId="58" fillId="5" borderId="261" xfId="0" applyFont="1" applyFill="1" applyBorder="1"/>
    <xf numFmtId="0" fontId="61" fillId="2" borderId="189" xfId="0" applyFont="1" applyFill="1" applyBorder="1"/>
    <xf numFmtId="0" fontId="61" fillId="2" borderId="236" xfId="0" applyFont="1" applyFill="1" applyBorder="1"/>
    <xf numFmtId="0" fontId="33" fillId="2" borderId="240" xfId="0" applyFont="1" applyFill="1" applyBorder="1"/>
    <xf numFmtId="0" fontId="2" fillId="0" borderId="8" xfId="1" applyFont="1" applyFill="1" applyBorder="1" applyAlignment="1" applyProtection="1"/>
    <xf numFmtId="0" fontId="2" fillId="4" borderId="277" xfId="1" applyFont="1" applyFill="1" applyBorder="1" applyAlignment="1" applyProtection="1"/>
    <xf numFmtId="0" fontId="2" fillId="4" borderId="189" xfId="1" applyFont="1" applyFill="1" applyBorder="1" applyAlignment="1" applyProtection="1"/>
    <xf numFmtId="0" fontId="10" fillId="4" borderId="189" xfId="0" applyFont="1" applyFill="1" applyBorder="1" applyAlignment="1">
      <alignment vertical="center"/>
    </xf>
    <xf numFmtId="0" fontId="10" fillId="4" borderId="248" xfId="0" applyFont="1" applyFill="1" applyBorder="1" applyAlignment="1">
      <alignment vertical="center"/>
    </xf>
    <xf numFmtId="0" fontId="104" fillId="0" borderId="236" xfId="0" applyFont="1" applyBorder="1"/>
    <xf numFmtId="0" fontId="0" fillId="0" borderId="240" xfId="0" applyFill="1" applyBorder="1"/>
    <xf numFmtId="0" fontId="0" fillId="0" borderId="278" xfId="0" applyFill="1" applyBorder="1"/>
    <xf numFmtId="0" fontId="23" fillId="0" borderId="279" xfId="0" applyFont="1" applyFill="1" applyBorder="1" applyAlignment="1"/>
    <xf numFmtId="0" fontId="37" fillId="2" borderId="280" xfId="0" applyFont="1" applyFill="1" applyBorder="1" applyAlignment="1">
      <alignment wrapText="1"/>
    </xf>
    <xf numFmtId="0" fontId="48" fillId="2" borderId="280" xfId="0" applyFont="1" applyFill="1" applyBorder="1" applyAlignment="1">
      <alignment horizontal="left" vertical="center"/>
    </xf>
    <xf numFmtId="0" fontId="0" fillId="2" borderId="280" xfId="0" applyFill="1" applyBorder="1" applyAlignment="1">
      <alignment horizontal="left" vertical="center"/>
    </xf>
    <xf numFmtId="3" fontId="46" fillId="0" borderId="190" xfId="0" applyNumberFormat="1" applyFont="1" applyFill="1" applyBorder="1" applyAlignment="1" applyProtection="1">
      <alignment horizontal="center" vertical="center"/>
      <protection hidden="1"/>
    </xf>
    <xf numFmtId="0" fontId="10" fillId="2" borderId="2" xfId="0" applyFont="1" applyFill="1" applyBorder="1" applyAlignment="1">
      <alignment vertical="center"/>
    </xf>
    <xf numFmtId="0" fontId="0" fillId="2" borderId="14" xfId="0" applyFill="1" applyBorder="1" applyAlignment="1">
      <alignment vertical="center" wrapText="1"/>
    </xf>
    <xf numFmtId="0" fontId="2" fillId="3" borderId="274" xfId="0" applyFont="1" applyFill="1" applyBorder="1" applyAlignment="1">
      <alignment vertical="center"/>
    </xf>
    <xf numFmtId="0" fontId="1" fillId="3" borderId="189" xfId="0" applyFont="1" applyFill="1" applyBorder="1" applyAlignment="1">
      <alignment horizontal="left" vertical="center"/>
    </xf>
    <xf numFmtId="0" fontId="74" fillId="5" borderId="281" xfId="0" applyFont="1" applyFill="1" applyBorder="1" applyAlignment="1">
      <alignment vertical="center"/>
    </xf>
    <xf numFmtId="0" fontId="88" fillId="2" borderId="277" xfId="0" applyFont="1" applyFill="1" applyBorder="1" applyAlignment="1">
      <alignment horizontal="center" vertical="center"/>
    </xf>
    <xf numFmtId="0" fontId="18" fillId="0" borderId="14" xfId="0" applyFont="1" applyFill="1" applyBorder="1" applyAlignment="1">
      <alignment vertical="center"/>
    </xf>
    <xf numFmtId="3" fontId="74" fillId="5" borderId="261" xfId="0" applyNumberFormat="1" applyFont="1" applyFill="1" applyBorder="1" applyAlignment="1">
      <alignment horizontal="left" vertical="center"/>
    </xf>
    <xf numFmtId="0" fontId="50" fillId="5" borderId="282" xfId="0" applyFont="1" applyFill="1" applyBorder="1" applyAlignment="1">
      <alignment vertical="center"/>
    </xf>
    <xf numFmtId="0" fontId="0" fillId="5" borderId="272" xfId="0" applyFill="1" applyBorder="1" applyAlignment="1"/>
    <xf numFmtId="0" fontId="0" fillId="5" borderId="261" xfId="0" applyFill="1" applyBorder="1" applyAlignment="1"/>
    <xf numFmtId="0" fontId="20" fillId="2" borderId="275" xfId="0" applyFont="1" applyFill="1" applyBorder="1" applyAlignment="1" applyProtection="1">
      <alignment vertical="center"/>
      <protection hidden="1"/>
    </xf>
    <xf numFmtId="0" fontId="20" fillId="2" borderId="190" xfId="0" applyFont="1" applyFill="1" applyBorder="1" applyAlignment="1" applyProtection="1">
      <alignment vertical="center"/>
      <protection hidden="1"/>
    </xf>
    <xf numFmtId="0" fontId="2" fillId="2" borderId="2" xfId="1" applyFont="1" applyFill="1" applyBorder="1" applyAlignment="1" applyProtection="1"/>
    <xf numFmtId="0" fontId="79" fillId="2" borderId="189" xfId="0" applyFont="1" applyFill="1" applyBorder="1" applyAlignment="1">
      <alignment vertical="center"/>
    </xf>
    <xf numFmtId="0" fontId="1" fillId="2" borderId="265" xfId="0" applyFont="1" applyFill="1" applyBorder="1" applyAlignment="1">
      <alignment vertical="center"/>
    </xf>
    <xf numFmtId="0" fontId="20" fillId="2" borderId="197" xfId="0" applyFont="1" applyFill="1" applyBorder="1" applyAlignment="1" applyProtection="1">
      <alignment vertical="center"/>
      <protection hidden="1"/>
    </xf>
    <xf numFmtId="0" fontId="0" fillId="2" borderId="189" xfId="0" applyFill="1" applyBorder="1" applyAlignment="1"/>
    <xf numFmtId="0" fontId="18" fillId="3" borderId="283" xfId="0" applyFont="1" applyFill="1" applyBorder="1" applyAlignment="1">
      <alignment vertical="center"/>
    </xf>
    <xf numFmtId="0" fontId="37" fillId="3" borderId="284" xfId="0" applyFont="1" applyFill="1" applyBorder="1" applyAlignment="1"/>
    <xf numFmtId="0" fontId="37" fillId="3" borderId="189" xfId="0" applyFont="1" applyFill="1" applyBorder="1" applyAlignment="1"/>
    <xf numFmtId="0" fontId="23" fillId="3" borderId="189" xfId="0" applyFont="1" applyFill="1" applyBorder="1" applyAlignment="1"/>
    <xf numFmtId="3" fontId="46" fillId="3" borderId="248" xfId="0" applyNumberFormat="1" applyFont="1" applyFill="1" applyBorder="1" applyAlignment="1">
      <alignment horizontal="center" vertical="center"/>
    </xf>
    <xf numFmtId="165" fontId="46" fillId="0" borderId="145" xfId="0" applyNumberFormat="1" applyFont="1" applyBorder="1" applyAlignment="1" applyProtection="1">
      <alignment horizontal="center" vertical="center"/>
      <protection hidden="1"/>
    </xf>
    <xf numFmtId="0" fontId="23" fillId="2" borderId="277" xfId="0" applyFont="1" applyFill="1" applyBorder="1" applyAlignment="1">
      <alignment horizontal="left" vertical="center"/>
    </xf>
    <xf numFmtId="0" fontId="58" fillId="5" borderId="285" xfId="1" applyFont="1" applyFill="1" applyBorder="1" applyAlignment="1" applyProtection="1">
      <alignment vertical="center"/>
    </xf>
    <xf numFmtId="0" fontId="0" fillId="5" borderId="286" xfId="0" applyFill="1" applyBorder="1" applyAlignment="1"/>
    <xf numFmtId="0" fontId="37" fillId="0" borderId="189" xfId="0" applyFont="1" applyFill="1" applyBorder="1" applyAlignment="1">
      <alignment wrapText="1"/>
    </xf>
    <xf numFmtId="3" fontId="46" fillId="2" borderId="197" xfId="0" applyNumberFormat="1" applyFont="1" applyFill="1" applyBorder="1" applyAlignment="1" applyProtection="1">
      <alignment horizontal="center" vertical="center"/>
      <protection hidden="1"/>
    </xf>
    <xf numFmtId="0" fontId="1" fillId="2" borderId="189" xfId="0" applyFont="1" applyFill="1" applyBorder="1" applyAlignment="1">
      <alignment vertical="center"/>
    </xf>
    <xf numFmtId="165" fontId="46" fillId="0" borderId="276" xfId="0" applyNumberFormat="1" applyFont="1" applyBorder="1" applyAlignment="1" applyProtection="1">
      <alignment horizontal="center" vertical="center"/>
      <protection hidden="1"/>
    </xf>
    <xf numFmtId="3" fontId="74" fillId="5" borderId="287" xfId="0" applyNumberFormat="1" applyFont="1" applyFill="1" applyBorder="1" applyAlignment="1">
      <alignment horizontal="left" vertical="center" indent="1"/>
    </xf>
    <xf numFmtId="0" fontId="23" fillId="3" borderId="9" xfId="0" applyFont="1" applyFill="1" applyBorder="1" applyAlignment="1">
      <alignment vertical="center"/>
    </xf>
    <xf numFmtId="0" fontId="58" fillId="2" borderId="288" xfId="1" applyFont="1" applyFill="1" applyBorder="1" applyAlignment="1" applyProtection="1">
      <alignment vertical="center"/>
    </xf>
    <xf numFmtId="0" fontId="23" fillId="2" borderId="267" xfId="0" applyFont="1" applyFill="1" applyBorder="1" applyAlignment="1">
      <alignment vertical="center"/>
    </xf>
    <xf numFmtId="0" fontId="23" fillId="0" borderId="262" xfId="0" applyFont="1" applyFill="1" applyBorder="1" applyAlignment="1"/>
    <xf numFmtId="0" fontId="37" fillId="2" borderId="289" xfId="0" applyFont="1" applyFill="1" applyBorder="1" applyAlignment="1"/>
    <xf numFmtId="0" fontId="37" fillId="2" borderId="263" xfId="0" applyFont="1" applyFill="1" applyBorder="1" applyAlignment="1">
      <alignment horizontal="left"/>
    </xf>
    <xf numFmtId="0" fontId="37" fillId="2" borderId="290" xfId="0" applyFont="1" applyFill="1" applyBorder="1" applyAlignment="1"/>
    <xf numFmtId="0" fontId="2" fillId="2" borderId="240" xfId="1" applyFont="1" applyFill="1" applyBorder="1" applyAlignment="1" applyProtection="1"/>
    <xf numFmtId="0" fontId="10" fillId="2" borderId="240" xfId="0" applyFont="1" applyFill="1" applyBorder="1" applyAlignment="1">
      <alignment vertical="center"/>
    </xf>
    <xf numFmtId="0" fontId="0" fillId="2" borderId="235" xfId="0" applyFill="1" applyBorder="1" applyAlignment="1">
      <alignment vertical="center"/>
    </xf>
    <xf numFmtId="0" fontId="15" fillId="2" borderId="189" xfId="0" applyFont="1" applyFill="1" applyBorder="1" applyAlignment="1">
      <alignment vertical="center"/>
    </xf>
    <xf numFmtId="0" fontId="0" fillId="2" borderId="189" xfId="0" applyFill="1" applyBorder="1" applyAlignment="1">
      <alignment vertical="center"/>
    </xf>
    <xf numFmtId="0" fontId="0" fillId="2" borderId="248" xfId="0" applyFill="1" applyBorder="1" applyAlignment="1">
      <alignment vertical="center"/>
    </xf>
    <xf numFmtId="0" fontId="0" fillId="2" borderId="189" xfId="0" applyFill="1" applyBorder="1"/>
    <xf numFmtId="3" fontId="46" fillId="0" borderId="267" xfId="0" applyNumberFormat="1" applyFont="1" applyFill="1" applyBorder="1" applyAlignment="1">
      <alignment horizontal="center" vertical="center"/>
    </xf>
    <xf numFmtId="0" fontId="81" fillId="2" borderId="189" xfId="0" applyFont="1" applyFill="1" applyBorder="1"/>
    <xf numFmtId="0" fontId="66" fillId="2" borderId="189" xfId="0" applyFont="1" applyFill="1" applyBorder="1" applyAlignment="1">
      <alignment vertical="center"/>
    </xf>
    <xf numFmtId="0" fontId="99" fillId="0" borderId="291" xfId="0" applyFont="1" applyFill="1" applyBorder="1" applyAlignment="1">
      <alignment horizontal="center" vertical="center"/>
    </xf>
    <xf numFmtId="0" fontId="23" fillId="2" borderId="280" xfId="0" applyFont="1" applyFill="1" applyBorder="1" applyAlignment="1"/>
    <xf numFmtId="0" fontId="23" fillId="2" borderId="291" xfId="0" applyFont="1" applyFill="1" applyBorder="1" applyAlignment="1"/>
    <xf numFmtId="3" fontId="46" fillId="3" borderId="291" xfId="0" applyNumberFormat="1" applyFont="1" applyFill="1" applyBorder="1" applyAlignment="1" applyProtection="1">
      <alignment horizontal="center" vertical="center"/>
      <protection hidden="1"/>
    </xf>
    <xf numFmtId="3" fontId="46" fillId="2" borderId="291" xfId="0" applyNumberFormat="1" applyFont="1" applyFill="1" applyBorder="1" applyAlignment="1" applyProtection="1">
      <alignment horizontal="center" vertical="center"/>
      <protection hidden="1"/>
    </xf>
    <xf numFmtId="3" fontId="46" fillId="0" borderId="291" xfId="0" applyNumberFormat="1" applyFont="1" applyBorder="1" applyAlignment="1" applyProtection="1">
      <alignment horizontal="center" vertical="center"/>
      <protection hidden="1"/>
    </xf>
    <xf numFmtId="3" fontId="46" fillId="0" borderId="292" xfId="0" applyNumberFormat="1" applyFont="1" applyBorder="1" applyAlignment="1">
      <alignment horizontal="center" vertical="center"/>
    </xf>
    <xf numFmtId="3" fontId="46" fillId="3" borderId="293" xfId="0" applyNumberFormat="1" applyFont="1" applyFill="1" applyBorder="1" applyAlignment="1">
      <alignment horizontal="center" vertical="center"/>
    </xf>
    <xf numFmtId="3" fontId="55" fillId="0" borderId="292" xfId="0" applyNumberFormat="1" applyFont="1" applyBorder="1" applyAlignment="1">
      <alignment horizontal="center" vertical="center" wrapText="1"/>
    </xf>
    <xf numFmtId="0" fontId="88" fillId="0" borderId="291" xfId="0" applyFont="1" applyFill="1" applyBorder="1" applyAlignment="1">
      <alignment horizontal="center" vertical="center"/>
    </xf>
    <xf numFmtId="0" fontId="88" fillId="3" borderId="291" xfId="0" applyFont="1" applyFill="1" applyBorder="1" applyAlignment="1">
      <alignment horizontal="center" vertical="center"/>
    </xf>
    <xf numFmtId="3" fontId="46" fillId="2" borderId="235" xfId="0" applyNumberFormat="1" applyFont="1" applyFill="1" applyBorder="1" applyAlignment="1">
      <alignment horizontal="center" vertical="center"/>
    </xf>
    <xf numFmtId="3" fontId="47" fillId="0" borderId="294" xfId="0" applyNumberFormat="1" applyFont="1" applyFill="1" applyBorder="1" applyAlignment="1">
      <alignment horizontal="center" vertical="center"/>
    </xf>
    <xf numFmtId="0" fontId="1" fillId="0" borderId="295" xfId="0" applyFont="1" applyFill="1" applyBorder="1" applyAlignment="1">
      <alignment vertical="center"/>
    </xf>
    <xf numFmtId="0" fontId="88" fillId="2" borderId="296" xfId="0" applyFont="1" applyFill="1" applyBorder="1" applyAlignment="1">
      <alignment horizontal="center" vertical="center"/>
    </xf>
    <xf numFmtId="0" fontId="1" fillId="0" borderId="275" xfId="0" applyFont="1" applyFill="1" applyBorder="1" applyAlignment="1">
      <alignment vertical="center"/>
    </xf>
    <xf numFmtId="3" fontId="47" fillId="0" borderId="190" xfId="0" applyNumberFormat="1" applyFont="1" applyFill="1" applyBorder="1" applyAlignment="1" applyProtection="1">
      <alignment horizontal="center" vertical="center"/>
      <protection hidden="1"/>
    </xf>
    <xf numFmtId="0" fontId="20" fillId="0" borderId="197" xfId="0" applyFont="1" applyFill="1" applyBorder="1" applyAlignment="1">
      <alignment vertical="center"/>
    </xf>
    <xf numFmtId="0" fontId="38" fillId="0" borderId="189" xfId="0" applyFont="1" applyFill="1" applyBorder="1" applyAlignment="1"/>
    <xf numFmtId="0" fontId="38" fillId="0" borderId="236" xfId="0" applyFont="1" applyFill="1" applyBorder="1" applyAlignment="1"/>
    <xf numFmtId="0" fontId="38" fillId="0" borderId="240" xfId="0" applyFont="1" applyFill="1" applyBorder="1" applyAlignment="1"/>
    <xf numFmtId="0" fontId="26" fillId="0" borderId="240" xfId="0" applyFont="1" applyFill="1" applyBorder="1" applyAlignment="1"/>
    <xf numFmtId="3" fontId="47" fillId="0" borderId="240" xfId="0" applyNumberFormat="1" applyFont="1" applyFill="1" applyBorder="1" applyAlignment="1">
      <alignment horizontal="center" vertical="center"/>
    </xf>
    <xf numFmtId="0" fontId="23" fillId="0" borderId="240" xfId="0" applyFont="1" applyFill="1" applyBorder="1" applyAlignment="1"/>
    <xf numFmtId="0" fontId="23" fillId="0" borderId="248" xfId="0" applyFont="1" applyFill="1" applyBorder="1" applyAlignment="1"/>
    <xf numFmtId="0" fontId="38" fillId="2" borderId="189" xfId="0" applyFont="1" applyFill="1" applyBorder="1" applyAlignment="1"/>
    <xf numFmtId="0" fontId="26" fillId="2" borderId="189" xfId="0" applyFont="1" applyFill="1" applyBorder="1" applyAlignment="1"/>
    <xf numFmtId="3" fontId="47" fillId="2" borderId="189" xfId="0" applyNumberFormat="1" applyFont="1" applyFill="1" applyBorder="1" applyAlignment="1">
      <alignment horizontal="center" vertical="center"/>
    </xf>
    <xf numFmtId="0" fontId="83" fillId="0" borderId="2" xfId="0" applyFont="1" applyFill="1" applyBorder="1" applyAlignment="1">
      <alignment horizontal="left" vertical="center"/>
    </xf>
    <xf numFmtId="0" fontId="20" fillId="0" borderId="189" xfId="0" applyFont="1" applyFill="1" applyBorder="1" applyAlignment="1">
      <alignment vertical="center"/>
    </xf>
    <xf numFmtId="0" fontId="88" fillId="2" borderId="291" xfId="0" applyFont="1" applyFill="1" applyBorder="1" applyAlignment="1">
      <alignment horizontal="center" vertical="center"/>
    </xf>
    <xf numFmtId="0" fontId="88" fillId="0" borderId="296" xfId="0" applyFont="1" applyFill="1" applyBorder="1" applyAlignment="1">
      <alignment horizontal="center" vertical="center"/>
    </xf>
    <xf numFmtId="0" fontId="1" fillId="0" borderId="0" xfId="0" applyFont="1" applyBorder="1" applyAlignment="1">
      <alignment horizontal="left" vertical="center"/>
    </xf>
    <xf numFmtId="0" fontId="1" fillId="0" borderId="297" xfId="0" applyFont="1" applyFill="1" applyBorder="1" applyAlignment="1">
      <alignment horizontal="left" vertical="center"/>
    </xf>
    <xf numFmtId="0" fontId="1" fillId="0" borderId="85" xfId="0" applyFont="1" applyFill="1" applyBorder="1" applyAlignment="1">
      <alignment vertical="center"/>
    </xf>
    <xf numFmtId="0" fontId="13" fillId="0" borderId="41" xfId="0" applyFont="1" applyFill="1" applyBorder="1" applyAlignment="1">
      <alignment vertical="center"/>
    </xf>
    <xf numFmtId="0" fontId="13" fillId="0" borderId="15" xfId="0" applyFont="1" applyFill="1" applyBorder="1" applyAlignment="1">
      <alignment vertical="center"/>
    </xf>
    <xf numFmtId="0" fontId="48" fillId="2" borderId="9" xfId="0" applyFont="1" applyFill="1" applyBorder="1" applyAlignment="1">
      <alignment vertical="center"/>
    </xf>
    <xf numFmtId="0" fontId="48" fillId="2" borderId="12" xfId="0" applyFont="1" applyFill="1" applyBorder="1" applyAlignment="1">
      <alignment vertical="center"/>
    </xf>
    <xf numFmtId="3" fontId="46" fillId="0" borderId="235" xfId="0" applyNumberFormat="1" applyFont="1" applyFill="1" applyBorder="1" applyAlignment="1" applyProtection="1">
      <alignment horizontal="center" vertical="center"/>
      <protection hidden="1"/>
    </xf>
    <xf numFmtId="0" fontId="74" fillId="5" borderId="298" xfId="0" applyFont="1" applyFill="1" applyBorder="1" applyAlignment="1">
      <alignment horizontal="center" vertical="center"/>
    </xf>
    <xf numFmtId="0" fontId="74" fillId="5" borderId="270" xfId="0" applyFont="1" applyFill="1" applyBorder="1" applyAlignment="1">
      <alignment vertical="center"/>
    </xf>
    <xf numFmtId="0" fontId="101" fillId="5" borderId="270" xfId="0" applyFont="1" applyFill="1" applyBorder="1" applyAlignment="1">
      <alignment vertical="center"/>
    </xf>
    <xf numFmtId="0" fontId="0" fillId="5" borderId="261" xfId="0" applyFill="1" applyBorder="1" applyAlignment="1">
      <alignment vertical="center"/>
    </xf>
    <xf numFmtId="0" fontId="101" fillId="5" borderId="261" xfId="0" applyFont="1" applyFill="1" applyBorder="1" applyAlignment="1">
      <alignment vertical="center"/>
    </xf>
    <xf numFmtId="0" fontId="23" fillId="5" borderId="261" xfId="0" applyFont="1" applyFill="1" applyBorder="1" applyAlignment="1"/>
    <xf numFmtId="0" fontId="23" fillId="5" borderId="259" xfId="0" applyFont="1" applyFill="1" applyBorder="1" applyAlignment="1"/>
    <xf numFmtId="0" fontId="37" fillId="0" borderId="252" xfId="0" applyFont="1" applyFill="1" applyBorder="1" applyAlignment="1"/>
    <xf numFmtId="0" fontId="23" fillId="0" borderId="252" xfId="0" applyFont="1" applyFill="1" applyBorder="1" applyAlignment="1"/>
    <xf numFmtId="0" fontId="23" fillId="0" borderId="299" xfId="0" applyFont="1" applyFill="1" applyBorder="1" applyAlignment="1"/>
    <xf numFmtId="0" fontId="23" fillId="0" borderId="300" xfId="0" applyFont="1" applyFill="1" applyBorder="1" applyAlignment="1"/>
    <xf numFmtId="0" fontId="74" fillId="5" borderId="271" xfId="0" applyFont="1" applyFill="1" applyBorder="1" applyAlignment="1">
      <alignment vertical="center"/>
    </xf>
    <xf numFmtId="0" fontId="37" fillId="5" borderId="261" xfId="0" applyFont="1" applyFill="1" applyBorder="1" applyAlignment="1"/>
    <xf numFmtId="0" fontId="74" fillId="5" borderId="259" xfId="0" applyFont="1" applyFill="1" applyBorder="1" applyAlignment="1">
      <alignment horizontal="center" vertical="center"/>
    </xf>
    <xf numFmtId="0" fontId="101" fillId="5" borderId="271" xfId="0" applyFont="1" applyFill="1" applyBorder="1" applyAlignment="1">
      <alignment vertical="center"/>
    </xf>
    <xf numFmtId="0" fontId="74" fillId="5" borderId="261" xfId="0" applyFont="1" applyFill="1" applyBorder="1" applyAlignment="1">
      <alignment vertical="center"/>
    </xf>
    <xf numFmtId="0" fontId="101" fillId="5" borderId="259" xfId="0" applyFont="1" applyFill="1" applyBorder="1" applyAlignment="1">
      <alignment vertical="center"/>
    </xf>
    <xf numFmtId="0" fontId="101" fillId="5" borderId="282" xfId="0" applyFont="1" applyFill="1" applyBorder="1" applyAlignment="1">
      <alignment vertical="center"/>
    </xf>
    <xf numFmtId="0" fontId="83" fillId="4" borderId="277" xfId="0" applyFont="1" applyFill="1" applyBorder="1" applyAlignment="1">
      <alignment horizontal="left" vertical="center"/>
    </xf>
    <xf numFmtId="0" fontId="0" fillId="4" borderId="189" xfId="0" applyFill="1" applyBorder="1" applyAlignment="1">
      <alignment vertical="center"/>
    </xf>
    <xf numFmtId="0" fontId="0" fillId="4" borderId="248" xfId="0" applyFill="1" applyBorder="1" applyAlignment="1">
      <alignment vertical="center"/>
    </xf>
    <xf numFmtId="0" fontId="88" fillId="5" borderId="272" xfId="0" applyFont="1" applyFill="1" applyBorder="1" applyAlignment="1">
      <alignment horizontal="center" vertical="center"/>
    </xf>
    <xf numFmtId="0" fontId="2" fillId="5" borderId="261" xfId="0" applyFont="1" applyFill="1" applyBorder="1" applyAlignment="1">
      <alignment vertical="center"/>
    </xf>
    <xf numFmtId="0" fontId="20" fillId="5" borderId="261" xfId="0" applyFont="1" applyFill="1" applyBorder="1" applyAlignment="1">
      <alignment vertical="center"/>
    </xf>
    <xf numFmtId="0" fontId="60" fillId="4" borderId="277" xfId="0" applyFont="1" applyFill="1" applyBorder="1" applyAlignment="1">
      <alignment horizontal="left" vertical="center"/>
    </xf>
    <xf numFmtId="0" fontId="35" fillId="5" borderId="261" xfId="0" applyFont="1" applyFill="1" applyBorder="1" applyAlignment="1">
      <alignment vertical="center"/>
    </xf>
    <xf numFmtId="3" fontId="36" fillId="5" borderId="261" xfId="0" applyNumberFormat="1" applyFont="1" applyFill="1" applyBorder="1" applyAlignment="1">
      <alignment horizontal="center" vertical="center"/>
    </xf>
    <xf numFmtId="0" fontId="35" fillId="5" borderId="261" xfId="0" applyFont="1" applyFill="1" applyBorder="1" applyAlignment="1">
      <alignment horizontal="center" vertical="center"/>
    </xf>
    <xf numFmtId="0" fontId="35" fillId="5" borderId="259" xfId="0" applyFont="1" applyFill="1" applyBorder="1" applyAlignment="1">
      <alignment horizontal="center" vertical="center"/>
    </xf>
    <xf numFmtId="0" fontId="58" fillId="5" borderId="259" xfId="0" applyFont="1" applyFill="1" applyBorder="1"/>
    <xf numFmtId="0" fontId="33" fillId="0" borderId="278" xfId="0" applyFont="1" applyFill="1" applyBorder="1"/>
    <xf numFmtId="0" fontId="23" fillId="3" borderId="301" xfId="0" applyFont="1" applyFill="1" applyBorder="1" applyAlignment="1">
      <alignment vertical="center"/>
    </xf>
    <xf numFmtId="0" fontId="37" fillId="2" borderId="302" xfId="0" applyFont="1" applyFill="1" applyBorder="1" applyAlignment="1">
      <alignment vertical="center"/>
    </xf>
    <xf numFmtId="0" fontId="23" fillId="3" borderId="303" xfId="0" applyFont="1" applyFill="1" applyBorder="1" applyAlignment="1">
      <alignment vertical="center"/>
    </xf>
    <xf numFmtId="0" fontId="23" fillId="3" borderId="304" xfId="0" applyFont="1" applyFill="1" applyBorder="1" applyAlignment="1"/>
    <xf numFmtId="0" fontId="23" fillId="2" borderId="303" xfId="0" applyFont="1" applyFill="1" applyBorder="1" applyAlignment="1"/>
    <xf numFmtId="0" fontId="0" fillId="0" borderId="305" xfId="0" applyFill="1" applyBorder="1"/>
    <xf numFmtId="0" fontId="0" fillId="0" borderId="301" xfId="0" applyFill="1" applyBorder="1"/>
    <xf numFmtId="0" fontId="23" fillId="2" borderId="301" xfId="0" applyFont="1" applyFill="1" applyBorder="1" applyAlignment="1"/>
    <xf numFmtId="0" fontId="23" fillId="2" borderId="304" xfId="0" applyFont="1" applyFill="1" applyBorder="1" applyAlignment="1"/>
    <xf numFmtId="0" fontId="38" fillId="2" borderId="301" xfId="0" applyFont="1" applyFill="1" applyBorder="1" applyAlignment="1">
      <alignment vertical="center"/>
    </xf>
    <xf numFmtId="0" fontId="0" fillId="2" borderId="15" xfId="0" applyFill="1" applyBorder="1"/>
    <xf numFmtId="0" fontId="74" fillId="5" borderId="306" xfId="0" applyFont="1" applyFill="1" applyBorder="1" applyAlignment="1">
      <alignment vertical="center"/>
    </xf>
    <xf numFmtId="0" fontId="74" fillId="5" borderId="273" xfId="0" applyFont="1" applyFill="1" applyBorder="1" applyAlignment="1">
      <alignment vertical="center"/>
    </xf>
    <xf numFmtId="3" fontId="74" fillId="5" borderId="287" xfId="0" applyNumberFormat="1" applyFont="1" applyFill="1" applyBorder="1" applyAlignment="1">
      <alignment horizontal="left" vertical="center"/>
    </xf>
    <xf numFmtId="0" fontId="37" fillId="5" borderId="252" xfId="0" applyFont="1" applyFill="1" applyBorder="1" applyAlignment="1"/>
    <xf numFmtId="0" fontId="23" fillId="5" borderId="252" xfId="0" applyFont="1" applyFill="1" applyBorder="1" applyAlignment="1"/>
    <xf numFmtId="0" fontId="101" fillId="5" borderId="252" xfId="0" applyFont="1" applyFill="1" applyBorder="1" applyAlignment="1">
      <alignment vertical="center"/>
    </xf>
    <xf numFmtId="0" fontId="74" fillId="5" borderId="287" xfId="0" applyFont="1" applyFill="1" applyBorder="1" applyAlignment="1">
      <alignment vertical="center"/>
    </xf>
    <xf numFmtId="0" fontId="1" fillId="0" borderId="307" xfId="0" applyFont="1" applyBorder="1" applyAlignment="1">
      <alignment horizontal="left" vertical="center"/>
    </xf>
    <xf numFmtId="0" fontId="0" fillId="2" borderId="17" xfId="0" applyFill="1" applyBorder="1"/>
    <xf numFmtId="0" fontId="2" fillId="2" borderId="280" xfId="0" applyFont="1" applyFill="1" applyBorder="1" applyAlignment="1">
      <alignment vertical="center"/>
    </xf>
    <xf numFmtId="0" fontId="0" fillId="0" borderId="280" xfId="0" applyBorder="1"/>
    <xf numFmtId="0" fontId="0" fillId="0" borderId="308" xfId="0" applyBorder="1"/>
    <xf numFmtId="0" fontId="18" fillId="2" borderId="280" xfId="0" applyFont="1" applyFill="1" applyBorder="1" applyAlignment="1">
      <alignment vertical="center" wrapText="1"/>
    </xf>
    <xf numFmtId="0" fontId="0" fillId="2" borderId="280" xfId="0" applyFill="1" applyBorder="1" applyAlignment="1">
      <alignment vertical="center" wrapText="1"/>
    </xf>
    <xf numFmtId="0" fontId="1" fillId="3" borderId="309" xfId="0" applyFont="1" applyFill="1" applyBorder="1" applyAlignment="1">
      <alignment vertical="center"/>
    </xf>
    <xf numFmtId="0" fontId="2" fillId="3" borderId="280" xfId="0" applyFont="1" applyFill="1" applyBorder="1" applyAlignment="1">
      <alignment vertical="center"/>
    </xf>
    <xf numFmtId="0" fontId="1" fillId="0" borderId="250" xfId="0" applyFont="1" applyFill="1" applyBorder="1" applyAlignment="1">
      <alignment vertical="center"/>
    </xf>
    <xf numFmtId="0" fontId="1" fillId="3" borderId="250" xfId="0" applyFont="1" applyFill="1" applyBorder="1" applyAlignment="1">
      <alignment vertical="center"/>
    </xf>
    <xf numFmtId="0" fontId="1" fillId="0" borderId="277" xfId="0" applyFont="1" applyFill="1" applyBorder="1" applyAlignment="1">
      <alignment vertical="center"/>
    </xf>
    <xf numFmtId="0" fontId="2" fillId="0" borderId="189" xfId="0" applyFont="1" applyFill="1" applyBorder="1" applyAlignment="1">
      <alignment vertical="center"/>
    </xf>
    <xf numFmtId="3" fontId="46" fillId="0" borderId="197" xfId="0" applyNumberFormat="1" applyFont="1" applyFill="1" applyBorder="1" applyAlignment="1" applyProtection="1">
      <alignment horizontal="center" vertical="center"/>
      <protection hidden="1"/>
    </xf>
    <xf numFmtId="0" fontId="0" fillId="2" borderId="5" xfId="0" applyFill="1" applyBorder="1"/>
    <xf numFmtId="0" fontId="34" fillId="3" borderId="310" xfId="0" applyFont="1" applyFill="1" applyBorder="1" applyAlignment="1">
      <alignment vertical="center"/>
    </xf>
    <xf numFmtId="0" fontId="54" fillId="3" borderId="311" xfId="0" applyFont="1" applyFill="1" applyBorder="1"/>
    <xf numFmtId="0" fontId="63" fillId="3" borderId="310" xfId="0" applyFont="1" applyFill="1" applyBorder="1" applyAlignment="1">
      <alignment horizontal="left" vertical="center"/>
    </xf>
    <xf numFmtId="0" fontId="34" fillId="3" borderId="311" xfId="0" applyFont="1" applyFill="1" applyBorder="1" applyAlignment="1">
      <alignment vertical="center"/>
    </xf>
    <xf numFmtId="0" fontId="31" fillId="2" borderId="7" xfId="1" applyFont="1" applyFill="1" applyBorder="1" applyAlignment="1" applyProtection="1"/>
    <xf numFmtId="0" fontId="84" fillId="0" borderId="236" xfId="0" applyFont="1" applyFill="1" applyBorder="1" applyAlignment="1">
      <alignment horizontal="left" vertical="center"/>
    </xf>
    <xf numFmtId="0" fontId="13" fillId="2" borderId="2" xfId="0" applyFont="1" applyFill="1" applyBorder="1" applyAlignment="1">
      <alignment horizontal="left" vertical="center"/>
    </xf>
    <xf numFmtId="0" fontId="31" fillId="2" borderId="189" xfId="1" applyFont="1" applyFill="1" applyBorder="1" applyAlignment="1" applyProtection="1"/>
    <xf numFmtId="0" fontId="0" fillId="4" borderId="0" xfId="1" applyFont="1" applyFill="1" applyBorder="1" applyAlignment="1" applyProtection="1"/>
    <xf numFmtId="49" fontId="18" fillId="3" borderId="312" xfId="0" applyNumberFormat="1" applyFont="1" applyFill="1" applyBorder="1" applyAlignment="1">
      <alignment horizontal="center" vertical="center"/>
    </xf>
    <xf numFmtId="0" fontId="87" fillId="3" borderId="313" xfId="0" applyFont="1" applyFill="1" applyBorder="1" applyAlignment="1">
      <alignment horizontal="center" vertical="center"/>
    </xf>
    <xf numFmtId="49" fontId="18" fillId="3" borderId="314" xfId="0" applyNumberFormat="1" applyFont="1" applyFill="1" applyBorder="1" applyAlignment="1">
      <alignment horizontal="center" vertical="center"/>
    </xf>
    <xf numFmtId="49" fontId="18" fillId="3" borderId="67" xfId="0" applyNumberFormat="1" applyFont="1" applyFill="1" applyBorder="1" applyAlignment="1">
      <alignment horizontal="center" vertical="center"/>
    </xf>
    <xf numFmtId="0" fontId="1" fillId="0" borderId="315" xfId="0" applyFont="1" applyBorder="1"/>
    <xf numFmtId="0" fontId="41" fillId="2" borderId="0" xfId="0" applyFont="1" applyFill="1" applyBorder="1" applyAlignment="1">
      <alignment horizontal="left" vertical="center"/>
    </xf>
    <xf numFmtId="0" fontId="40" fillId="2" borderId="0" xfId="0" applyFont="1" applyFill="1" applyBorder="1" applyAlignment="1">
      <alignment horizontal="center" vertical="center" wrapText="1"/>
    </xf>
    <xf numFmtId="0" fontId="39" fillId="2" borderId="0" xfId="0" applyFont="1" applyFill="1" applyBorder="1"/>
    <xf numFmtId="0" fontId="76" fillId="3" borderId="60" xfId="0" applyFont="1" applyFill="1" applyBorder="1" applyAlignment="1">
      <alignment horizontal="left" vertical="center"/>
    </xf>
    <xf numFmtId="0" fontId="117" fillId="3" borderId="42" xfId="0" applyFont="1" applyFill="1" applyBorder="1"/>
    <xf numFmtId="0" fontId="118" fillId="2" borderId="104" xfId="0" applyFont="1" applyFill="1" applyBorder="1" applyAlignment="1">
      <alignment horizontal="left" vertical="center"/>
    </xf>
    <xf numFmtId="3" fontId="119" fillId="2" borderId="91" xfId="0" applyNumberFormat="1" applyFont="1" applyFill="1" applyBorder="1" applyAlignment="1">
      <alignment horizontal="center" wrapText="1"/>
    </xf>
    <xf numFmtId="0" fontId="118" fillId="2" borderId="91" xfId="0" applyFont="1" applyFill="1" applyBorder="1" applyAlignment="1">
      <alignment horizontal="left" vertical="center"/>
    </xf>
    <xf numFmtId="0" fontId="120" fillId="2" borderId="104" xfId="0" applyFont="1" applyFill="1" applyBorder="1" applyAlignment="1">
      <alignment vertical="center"/>
    </xf>
    <xf numFmtId="3" fontId="119" fillId="2" borderId="91" xfId="0" applyNumberFormat="1" applyFont="1" applyFill="1" applyBorder="1" applyAlignment="1">
      <alignment horizontal="center" vertical="center" wrapText="1"/>
    </xf>
    <xf numFmtId="0" fontId="120" fillId="2" borderId="316" xfId="0" applyFont="1" applyFill="1" applyBorder="1" applyAlignment="1">
      <alignment vertical="center"/>
    </xf>
    <xf numFmtId="0" fontId="0" fillId="0" borderId="0" xfId="0" applyFill="1" applyBorder="1" applyAlignment="1">
      <alignment vertical="center"/>
    </xf>
    <xf numFmtId="0" fontId="99" fillId="3" borderId="317" xfId="0" applyFont="1" applyFill="1" applyBorder="1" applyAlignment="1">
      <alignment horizontal="center" vertical="center"/>
    </xf>
    <xf numFmtId="0" fontId="0" fillId="3" borderId="318" xfId="0" applyFill="1" applyBorder="1" applyAlignment="1">
      <alignment vertical="center"/>
    </xf>
    <xf numFmtId="0" fontId="0" fillId="3" borderId="319" xfId="0" applyFill="1" applyBorder="1" applyAlignment="1">
      <alignment vertical="center"/>
    </xf>
    <xf numFmtId="0" fontId="0" fillId="3" borderId="320" xfId="0" applyFill="1" applyBorder="1" applyAlignment="1">
      <alignment vertical="center"/>
    </xf>
    <xf numFmtId="3" fontId="46" fillId="3" borderId="320" xfId="0" applyNumberFormat="1" applyFont="1" applyFill="1" applyBorder="1" applyAlignment="1">
      <alignment horizontal="center" vertical="center"/>
    </xf>
    <xf numFmtId="0" fontId="0" fillId="3" borderId="189" xfId="0" applyFill="1" applyBorder="1" applyAlignment="1">
      <alignment vertical="center"/>
    </xf>
    <xf numFmtId="0" fontId="99" fillId="3" borderId="291" xfId="0" applyFont="1" applyFill="1" applyBorder="1" applyAlignment="1">
      <alignment horizontal="center" vertical="center"/>
    </xf>
    <xf numFmtId="3" fontId="46" fillId="3" borderId="0" xfId="0" applyNumberFormat="1" applyFont="1" applyFill="1" applyBorder="1" applyAlignment="1">
      <alignment horizontal="center" vertical="center"/>
    </xf>
    <xf numFmtId="3" fontId="46" fillId="3" borderId="235" xfId="0" applyNumberFormat="1" applyFont="1" applyFill="1" applyBorder="1" applyAlignment="1">
      <alignment horizontal="center" vertical="center"/>
    </xf>
    <xf numFmtId="0" fontId="20" fillId="0" borderId="0" xfId="0" applyFont="1" applyFill="1" applyBorder="1" applyAlignment="1">
      <alignment vertical="center"/>
    </xf>
    <xf numFmtId="0" fontId="20" fillId="3" borderId="320" xfId="0" applyFont="1" applyFill="1" applyBorder="1" applyAlignment="1">
      <alignment vertical="center"/>
    </xf>
    <xf numFmtId="0" fontId="99" fillId="2" borderId="291" xfId="0" applyFont="1" applyFill="1" applyBorder="1" applyAlignment="1">
      <alignment horizontal="center" vertical="center"/>
    </xf>
    <xf numFmtId="0" fontId="0" fillId="2" borderId="15" xfId="0" applyFill="1" applyBorder="1" applyAlignment="1">
      <alignment vertical="center"/>
    </xf>
    <xf numFmtId="0" fontId="1" fillId="2" borderId="321" xfId="0" applyFont="1" applyFill="1" applyBorder="1" applyAlignment="1">
      <alignment vertical="center"/>
    </xf>
    <xf numFmtId="0" fontId="1" fillId="0" borderId="321" xfId="0" applyFont="1" applyFill="1" applyBorder="1" applyAlignment="1">
      <alignment vertical="center"/>
    </xf>
    <xf numFmtId="0" fontId="1" fillId="0" borderId="322" xfId="0" applyFont="1" applyBorder="1" applyAlignment="1">
      <alignment vertical="center"/>
    </xf>
    <xf numFmtId="3" fontId="46" fillId="3" borderId="323" xfId="0" applyNumberFormat="1" applyFont="1" applyFill="1" applyBorder="1" applyAlignment="1" applyProtection="1">
      <alignment horizontal="center" vertical="center"/>
      <protection hidden="1"/>
    </xf>
    <xf numFmtId="0" fontId="23" fillId="3" borderId="15" xfId="0" applyFont="1" applyFill="1" applyBorder="1" applyAlignment="1"/>
    <xf numFmtId="0" fontId="1" fillId="3" borderId="321" xfId="0" applyFont="1" applyFill="1" applyBorder="1" applyAlignment="1">
      <alignment vertical="center"/>
    </xf>
    <xf numFmtId="0" fontId="99" fillId="3" borderId="296" xfId="0" applyFont="1" applyFill="1" applyBorder="1" applyAlignment="1">
      <alignment horizontal="center" vertical="center"/>
    </xf>
    <xf numFmtId="0" fontId="37" fillId="3" borderId="324" xfId="0" applyFont="1" applyFill="1" applyBorder="1" applyAlignment="1"/>
    <xf numFmtId="0" fontId="37" fillId="3" borderId="325" xfId="0" applyFont="1" applyFill="1" applyBorder="1" applyAlignment="1"/>
    <xf numFmtId="3" fontId="46" fillId="3" borderId="296" xfId="0" applyNumberFormat="1" applyFont="1" applyFill="1" applyBorder="1" applyAlignment="1" applyProtection="1">
      <alignment horizontal="center" vertical="center"/>
      <protection hidden="1"/>
    </xf>
    <xf numFmtId="0" fontId="0" fillId="2" borderId="151" xfId="0" applyFill="1" applyBorder="1" applyAlignment="1">
      <alignment vertical="center"/>
    </xf>
    <xf numFmtId="0" fontId="37" fillId="2" borderId="150" xfId="0" applyFont="1" applyFill="1" applyBorder="1" applyAlignment="1"/>
    <xf numFmtId="0" fontId="37" fillId="2" borderId="15" xfId="0" applyFont="1" applyFill="1" applyBorder="1" applyAlignment="1"/>
    <xf numFmtId="0" fontId="23" fillId="2" borderId="150" xfId="0" applyFont="1" applyFill="1" applyBorder="1" applyAlignment="1"/>
    <xf numFmtId="0" fontId="23" fillId="2" borderId="15" xfId="0" applyFont="1" applyFill="1" applyBorder="1" applyAlignment="1"/>
    <xf numFmtId="3" fontId="46" fillId="3" borderId="326" xfId="0" applyNumberFormat="1" applyFont="1" applyFill="1" applyBorder="1" applyAlignment="1" applyProtection="1">
      <alignment horizontal="center" vertical="center"/>
      <protection hidden="1"/>
    </xf>
    <xf numFmtId="0" fontId="1" fillId="2" borderId="322" xfId="0" applyFont="1" applyFill="1" applyBorder="1" applyAlignment="1">
      <alignment vertical="center"/>
    </xf>
    <xf numFmtId="0" fontId="20" fillId="2" borderId="307" xfId="0" applyFont="1" applyFill="1" applyBorder="1" applyAlignment="1">
      <alignment vertical="center"/>
    </xf>
    <xf numFmtId="3" fontId="46" fillId="2" borderId="327" xfId="0" applyNumberFormat="1" applyFont="1" applyFill="1" applyBorder="1" applyAlignment="1" applyProtection="1">
      <alignment horizontal="center" vertical="center"/>
      <protection hidden="1"/>
    </xf>
    <xf numFmtId="3" fontId="46" fillId="2" borderId="326" xfId="0" applyNumberFormat="1" applyFont="1" applyFill="1" applyBorder="1" applyAlignment="1" applyProtection="1">
      <alignment horizontal="center" vertical="center"/>
      <protection hidden="1"/>
    </xf>
    <xf numFmtId="0" fontId="1" fillId="3" borderId="328" xfId="0" applyFont="1" applyFill="1" applyBorder="1" applyAlignment="1">
      <alignment vertical="center"/>
    </xf>
    <xf numFmtId="0" fontId="20" fillId="2" borderId="15" xfId="0" applyFont="1" applyFill="1" applyBorder="1" applyAlignment="1">
      <alignment vertical="center"/>
    </xf>
    <xf numFmtId="0" fontId="20" fillId="3" borderId="189" xfId="0" applyFont="1" applyFill="1" applyBorder="1" applyAlignment="1">
      <alignment vertical="center"/>
    </xf>
    <xf numFmtId="3" fontId="46" fillId="3" borderId="329" xfId="0" applyNumberFormat="1" applyFont="1" applyFill="1" applyBorder="1" applyAlignment="1" applyProtection="1">
      <alignment horizontal="center" vertical="center"/>
      <protection hidden="1"/>
    </xf>
    <xf numFmtId="3" fontId="46" fillId="2" borderId="323" xfId="0" applyNumberFormat="1" applyFont="1" applyFill="1" applyBorder="1" applyAlignment="1" applyProtection="1">
      <alignment horizontal="center" vertical="center"/>
      <protection hidden="1"/>
    </xf>
    <xf numFmtId="3" fontId="46" fillId="3" borderId="292" xfId="0" applyNumberFormat="1" applyFont="1" applyFill="1" applyBorder="1" applyAlignment="1">
      <alignment horizontal="center" vertical="center"/>
    </xf>
    <xf numFmtId="3" fontId="55" fillId="3" borderId="235" xfId="0" applyNumberFormat="1" applyFont="1" applyFill="1" applyBorder="1" applyAlignment="1">
      <alignment horizontal="center" vertical="center" wrapText="1"/>
    </xf>
    <xf numFmtId="3" fontId="46" fillId="0" borderId="326" xfId="0" applyNumberFormat="1" applyFont="1" applyBorder="1" applyAlignment="1" applyProtection="1">
      <alignment horizontal="center" vertical="center"/>
      <protection hidden="1"/>
    </xf>
    <xf numFmtId="0" fontId="1" fillId="0" borderId="321" xfId="0" applyFont="1" applyBorder="1" applyAlignment="1">
      <alignment vertical="center"/>
    </xf>
    <xf numFmtId="0" fontId="88" fillId="3" borderId="296" xfId="0" applyFont="1" applyFill="1" applyBorder="1" applyAlignment="1">
      <alignment horizontal="center" vertical="center"/>
    </xf>
    <xf numFmtId="3" fontId="55" fillId="3" borderId="330" xfId="0" applyNumberFormat="1" applyFont="1" applyFill="1" applyBorder="1" applyAlignment="1">
      <alignment horizontal="center" vertical="center" wrapText="1"/>
    </xf>
    <xf numFmtId="3" fontId="55" fillId="2" borderId="248" xfId="0" applyNumberFormat="1" applyFont="1" applyFill="1" applyBorder="1" applyAlignment="1">
      <alignment horizontal="center" vertical="center" wrapText="1"/>
    </xf>
    <xf numFmtId="0" fontId="1" fillId="2" borderId="328" xfId="0" applyFont="1" applyFill="1" applyBorder="1" applyAlignment="1">
      <alignment vertical="center"/>
    </xf>
    <xf numFmtId="0" fontId="99" fillId="2" borderId="296" xfId="0" applyFont="1" applyFill="1" applyBorder="1" applyAlignment="1">
      <alignment horizontal="center" vertical="center"/>
    </xf>
    <xf numFmtId="0" fontId="37" fillId="2" borderId="324" xfId="0" applyFont="1" applyFill="1" applyBorder="1" applyAlignment="1"/>
    <xf numFmtId="0" fontId="37" fillId="2" borderId="325" xfId="0" applyFont="1" applyFill="1" applyBorder="1" applyAlignment="1"/>
    <xf numFmtId="3" fontId="46" fillId="2" borderId="248" xfId="0" applyNumberFormat="1" applyFont="1" applyFill="1" applyBorder="1" applyAlignment="1">
      <alignment horizontal="center" vertical="center"/>
    </xf>
    <xf numFmtId="3" fontId="46" fillId="2" borderId="296" xfId="0" applyNumberFormat="1" applyFont="1" applyFill="1" applyBorder="1" applyAlignment="1" applyProtection="1">
      <alignment horizontal="center" vertical="center"/>
      <protection hidden="1"/>
    </xf>
    <xf numFmtId="0" fontId="0" fillId="3" borderId="145" xfId="0" applyFill="1" applyBorder="1" applyAlignment="1">
      <alignment vertical="center"/>
    </xf>
    <xf numFmtId="0" fontId="23" fillId="3" borderId="145" xfId="0" applyFont="1" applyFill="1" applyBorder="1" applyAlignment="1"/>
    <xf numFmtId="3" fontId="55" fillId="3" borderId="292" xfId="0" applyNumberFormat="1" applyFont="1" applyFill="1" applyBorder="1" applyAlignment="1">
      <alignment horizontal="center" vertical="center" wrapText="1"/>
    </xf>
    <xf numFmtId="3" fontId="55" fillId="3" borderId="248" xfId="0" applyNumberFormat="1" applyFont="1" applyFill="1" applyBorder="1" applyAlignment="1">
      <alignment horizontal="center" vertical="center" wrapText="1"/>
    </xf>
    <xf numFmtId="3" fontId="46" fillId="2" borderId="292" xfId="0" applyNumberFormat="1" applyFont="1" applyFill="1" applyBorder="1" applyAlignment="1">
      <alignment horizontal="center" vertical="center"/>
    </xf>
    <xf numFmtId="3" fontId="46" fillId="2" borderId="293" xfId="0" applyNumberFormat="1" applyFont="1" applyFill="1" applyBorder="1" applyAlignment="1">
      <alignment horizontal="center" vertical="center"/>
    </xf>
    <xf numFmtId="0" fontId="37" fillId="2" borderId="151" xfId="0" applyFont="1" applyFill="1" applyBorder="1" applyAlignment="1"/>
    <xf numFmtId="0" fontId="23" fillId="2" borderId="146" xfId="0" applyFont="1" applyFill="1" applyBorder="1" applyAlignment="1"/>
    <xf numFmtId="3" fontId="47" fillId="3" borderId="192" xfId="0" applyNumberFormat="1" applyFont="1" applyFill="1" applyBorder="1" applyAlignment="1">
      <alignment horizontal="center" vertical="center"/>
    </xf>
    <xf numFmtId="3" fontId="47" fillId="3" borderId="235" xfId="0" applyNumberFormat="1" applyFont="1" applyFill="1" applyBorder="1" applyAlignment="1">
      <alignment horizontal="center" vertical="center"/>
    </xf>
    <xf numFmtId="0" fontId="88" fillId="3" borderId="235" xfId="0" applyFont="1" applyFill="1" applyBorder="1" applyAlignment="1">
      <alignment horizontal="center" vertical="center"/>
    </xf>
    <xf numFmtId="3" fontId="47" fillId="3" borderId="188" xfId="0" applyNumberFormat="1" applyFont="1" applyFill="1" applyBorder="1" applyAlignment="1">
      <alignment horizontal="center" vertical="center"/>
    </xf>
    <xf numFmtId="0" fontId="23" fillId="3" borderId="301" xfId="0" applyFont="1" applyFill="1" applyBorder="1" applyAlignment="1"/>
    <xf numFmtId="3" fontId="47" fillId="3" borderId="304" xfId="0" applyNumberFormat="1" applyFont="1" applyFill="1" applyBorder="1" applyAlignment="1">
      <alignment horizontal="center" vertical="center"/>
    </xf>
    <xf numFmtId="3" fontId="46" fillId="3" borderId="192" xfId="0" applyNumberFormat="1" applyFont="1" applyFill="1" applyBorder="1" applyAlignment="1">
      <alignment horizontal="center" vertical="center"/>
    </xf>
    <xf numFmtId="3" fontId="55" fillId="3" borderId="0" xfId="0" applyNumberFormat="1" applyFont="1" applyFill="1" applyBorder="1" applyAlignment="1">
      <alignment horizontal="center" vertical="center" wrapText="1"/>
    </xf>
    <xf numFmtId="0" fontId="88" fillId="3" borderId="248" xfId="0" applyFont="1" applyFill="1" applyBorder="1" applyAlignment="1">
      <alignment horizontal="center" vertical="center"/>
    </xf>
    <xf numFmtId="0" fontId="23" fillId="3" borderId="274" xfId="0" applyFont="1" applyFill="1" applyBorder="1" applyAlignment="1"/>
    <xf numFmtId="3" fontId="55" fillId="3" borderId="189" xfId="0" applyNumberFormat="1" applyFont="1" applyFill="1" applyBorder="1" applyAlignment="1">
      <alignment horizontal="center" vertical="center" wrapText="1"/>
    </xf>
    <xf numFmtId="0" fontId="88" fillId="2" borderId="235" xfId="0" applyFont="1" applyFill="1" applyBorder="1" applyAlignment="1">
      <alignment horizontal="center" vertical="center"/>
    </xf>
    <xf numFmtId="0" fontId="0" fillId="2" borderId="145" xfId="0" applyFill="1" applyBorder="1" applyAlignment="1">
      <alignment vertical="center"/>
    </xf>
    <xf numFmtId="3" fontId="47" fillId="2" borderId="235" xfId="0" applyNumberFormat="1" applyFont="1" applyFill="1" applyBorder="1" applyAlignment="1">
      <alignment horizontal="center" vertical="center"/>
    </xf>
    <xf numFmtId="3" fontId="47" fillId="2" borderId="188" xfId="0" applyNumberFormat="1" applyFont="1" applyFill="1" applyBorder="1" applyAlignment="1">
      <alignment horizontal="center" vertical="center"/>
    </xf>
    <xf numFmtId="3" fontId="47" fillId="2" borderId="304" xfId="0" applyNumberFormat="1" applyFont="1" applyFill="1" applyBorder="1" applyAlignment="1">
      <alignment horizontal="center" vertical="center"/>
    </xf>
    <xf numFmtId="3" fontId="46" fillId="2" borderId="188" xfId="0" applyNumberFormat="1" applyFont="1" applyFill="1" applyBorder="1" applyAlignment="1">
      <alignment horizontal="center" vertical="center"/>
    </xf>
    <xf numFmtId="3" fontId="46" fillId="2" borderId="304" xfId="0" applyNumberFormat="1" applyFont="1" applyFill="1" applyBorder="1" applyAlignment="1">
      <alignment horizontal="center" vertical="center"/>
    </xf>
    <xf numFmtId="0" fontId="23" fillId="2" borderId="145" xfId="0" applyFont="1" applyFill="1" applyBorder="1" applyAlignment="1"/>
    <xf numFmtId="3" fontId="55" fillId="2" borderId="235" xfId="0" applyNumberFormat="1" applyFont="1" applyFill="1" applyBorder="1" applyAlignment="1">
      <alignment horizontal="center" vertical="center" wrapText="1"/>
    </xf>
    <xf numFmtId="0" fontId="1" fillId="3" borderId="322" xfId="0" applyFont="1" applyFill="1" applyBorder="1" applyAlignment="1">
      <alignment vertical="center"/>
    </xf>
    <xf numFmtId="3" fontId="47" fillId="3" borderId="326" xfId="0" applyNumberFormat="1" applyFont="1" applyFill="1" applyBorder="1" applyAlignment="1" applyProtection="1">
      <alignment horizontal="center" vertical="center"/>
      <protection hidden="1"/>
    </xf>
    <xf numFmtId="3" fontId="55" fillId="3" borderId="192" xfId="0" applyNumberFormat="1" applyFont="1" applyFill="1" applyBorder="1" applyAlignment="1">
      <alignment horizontal="center" vertical="center" wrapText="1"/>
    </xf>
    <xf numFmtId="3" fontId="55" fillId="3" borderId="269" xfId="0" applyNumberFormat="1" applyFont="1" applyFill="1" applyBorder="1" applyAlignment="1">
      <alignment horizontal="center" vertical="center" wrapText="1"/>
    </xf>
    <xf numFmtId="3" fontId="47" fillId="2" borderId="326" xfId="0" applyNumberFormat="1" applyFont="1" applyFill="1" applyBorder="1" applyAlignment="1" applyProtection="1">
      <alignment horizontal="center" vertical="center"/>
      <protection hidden="1"/>
    </xf>
    <xf numFmtId="0" fontId="88" fillId="2" borderId="331" xfId="0" applyFont="1" applyFill="1" applyBorder="1" applyAlignment="1">
      <alignment horizontal="center" vertical="center"/>
    </xf>
    <xf numFmtId="3" fontId="47" fillId="2" borderId="327" xfId="0" applyNumberFormat="1" applyFont="1" applyFill="1" applyBorder="1" applyAlignment="1" applyProtection="1">
      <alignment horizontal="center" vertical="center"/>
      <protection hidden="1"/>
    </xf>
    <xf numFmtId="0" fontId="0" fillId="2" borderId="332" xfId="0" applyFill="1" applyBorder="1" applyAlignment="1">
      <alignment vertical="center"/>
    </xf>
    <xf numFmtId="0" fontId="0" fillId="2" borderId="307" xfId="0" applyFill="1" applyBorder="1" applyAlignment="1">
      <alignment vertical="center"/>
    </xf>
    <xf numFmtId="3" fontId="47" fillId="2" borderId="333" xfId="0" applyNumberFormat="1" applyFont="1" applyFill="1" applyBorder="1" applyAlignment="1">
      <alignment horizontal="center" vertical="center"/>
    </xf>
    <xf numFmtId="0" fontId="23" fillId="2" borderId="307" xfId="0" applyFont="1" applyFill="1" applyBorder="1" applyAlignment="1"/>
    <xf numFmtId="3" fontId="47" fillId="2" borderId="260" xfId="0" applyNumberFormat="1" applyFont="1" applyFill="1" applyBorder="1" applyAlignment="1">
      <alignment horizontal="center" vertical="center"/>
    </xf>
    <xf numFmtId="3" fontId="47" fillId="2" borderId="334" xfId="0" applyNumberFormat="1" applyFont="1" applyFill="1" applyBorder="1" applyAlignment="1">
      <alignment horizontal="center" vertical="center"/>
    </xf>
    <xf numFmtId="3" fontId="55" fillId="2" borderId="188" xfId="0" applyNumberFormat="1" applyFont="1" applyFill="1" applyBorder="1" applyAlignment="1">
      <alignment horizontal="center" vertical="center" wrapText="1"/>
    </xf>
    <xf numFmtId="0" fontId="1" fillId="3" borderId="335" xfId="0" applyFont="1" applyFill="1" applyBorder="1" applyAlignment="1">
      <alignment vertical="center"/>
    </xf>
    <xf numFmtId="3" fontId="46" fillId="3" borderId="327" xfId="0" applyNumberFormat="1" applyFont="1" applyFill="1" applyBorder="1" applyAlignment="1" applyProtection="1">
      <alignment horizontal="center" vertical="center"/>
      <protection hidden="1"/>
    </xf>
    <xf numFmtId="0" fontId="1" fillId="3" borderId="336" xfId="0" applyFont="1" applyFill="1" applyBorder="1" applyAlignment="1">
      <alignment vertical="center"/>
    </xf>
    <xf numFmtId="0" fontId="20" fillId="0" borderId="307" xfId="0" applyFont="1" applyBorder="1" applyAlignment="1">
      <alignment vertical="center"/>
    </xf>
    <xf numFmtId="3" fontId="46" fillId="0" borderId="327" xfId="0" applyNumberFormat="1" applyFont="1" applyBorder="1" applyAlignment="1" applyProtection="1">
      <alignment horizontal="center" vertical="center"/>
      <protection hidden="1"/>
    </xf>
    <xf numFmtId="3" fontId="46" fillId="3" borderId="337" xfId="0" applyNumberFormat="1" applyFont="1" applyFill="1" applyBorder="1" applyAlignment="1" applyProtection="1">
      <alignment horizontal="center" vertical="center"/>
      <protection hidden="1"/>
    </xf>
    <xf numFmtId="3" fontId="46" fillId="2" borderId="338" xfId="0" applyNumberFormat="1" applyFont="1" applyFill="1" applyBorder="1" applyAlignment="1" applyProtection="1">
      <alignment horizontal="center" vertical="center"/>
      <protection hidden="1"/>
    </xf>
    <xf numFmtId="0" fontId="1" fillId="0" borderId="339" xfId="0" applyFont="1" applyFill="1" applyBorder="1" applyAlignment="1">
      <alignment vertical="center"/>
    </xf>
    <xf numFmtId="0" fontId="1" fillId="0" borderId="328" xfId="0" applyFont="1" applyFill="1" applyBorder="1" applyAlignment="1">
      <alignment vertical="center"/>
    </xf>
    <xf numFmtId="3" fontId="47" fillId="0" borderId="340" xfId="0" applyNumberFormat="1" applyFont="1" applyFill="1" applyBorder="1" applyAlignment="1" applyProtection="1">
      <alignment horizontal="center" vertical="center"/>
      <protection hidden="1"/>
    </xf>
    <xf numFmtId="3" fontId="47" fillId="0" borderId="329" xfId="0" applyNumberFormat="1" applyFont="1" applyFill="1" applyBorder="1" applyAlignment="1" applyProtection="1">
      <alignment horizontal="center" vertical="center"/>
      <protection hidden="1"/>
    </xf>
    <xf numFmtId="0" fontId="2" fillId="0" borderId="341" xfId="0" applyFont="1" applyFill="1" applyBorder="1" applyAlignment="1">
      <alignment vertical="center"/>
    </xf>
    <xf numFmtId="0" fontId="2" fillId="0" borderId="342" xfId="0" applyFont="1" applyFill="1" applyBorder="1" applyAlignment="1">
      <alignment vertical="center"/>
    </xf>
    <xf numFmtId="0" fontId="2" fillId="2" borderId="342" xfId="0" applyFont="1" applyFill="1" applyBorder="1" applyAlignment="1">
      <alignment vertical="center"/>
    </xf>
    <xf numFmtId="3" fontId="46" fillId="0" borderId="326" xfId="0" applyNumberFormat="1" applyFont="1" applyFill="1" applyBorder="1" applyAlignment="1" applyProtection="1">
      <alignment horizontal="center" vertical="center"/>
      <protection hidden="1"/>
    </xf>
    <xf numFmtId="3" fontId="46" fillId="0" borderId="341" xfId="0" applyNumberFormat="1" applyFont="1" applyBorder="1" applyAlignment="1" applyProtection="1">
      <alignment horizontal="center" vertical="center"/>
      <protection hidden="1"/>
    </xf>
    <xf numFmtId="0" fontId="20" fillId="2" borderId="329" xfId="0" applyFont="1" applyFill="1" applyBorder="1" applyAlignment="1">
      <alignment vertical="center"/>
    </xf>
    <xf numFmtId="0" fontId="2" fillId="0" borderId="343" xfId="0" applyFont="1" applyFill="1" applyBorder="1" applyAlignment="1">
      <alignment vertical="center"/>
    </xf>
    <xf numFmtId="0" fontId="18" fillId="0" borderId="344" xfId="0" applyFont="1" applyFill="1" applyBorder="1" applyAlignment="1">
      <alignment vertical="center"/>
    </xf>
    <xf numFmtId="3" fontId="46" fillId="0" borderId="327" xfId="0" applyNumberFormat="1" applyFont="1" applyFill="1" applyBorder="1" applyAlignment="1" applyProtection="1">
      <alignment horizontal="center" vertical="center"/>
      <protection hidden="1"/>
    </xf>
    <xf numFmtId="3" fontId="46" fillId="0" borderId="345" xfId="0" applyNumberFormat="1" applyFont="1" applyFill="1" applyBorder="1" applyAlignment="1" applyProtection="1">
      <alignment horizontal="center" vertical="center"/>
      <protection hidden="1"/>
    </xf>
    <xf numFmtId="3" fontId="46" fillId="0" borderId="235" xfId="0" applyNumberFormat="1" applyFont="1" applyBorder="1" applyAlignment="1" applyProtection="1">
      <alignment horizontal="center" vertical="center"/>
      <protection hidden="1"/>
    </xf>
    <xf numFmtId="0" fontId="13" fillId="0" borderId="321" xfId="0" applyFont="1" applyBorder="1" applyAlignment="1">
      <alignment vertical="center"/>
    </xf>
    <xf numFmtId="3" fontId="47" fillId="0" borderId="235" xfId="0" applyNumberFormat="1" applyFont="1" applyFill="1" applyBorder="1" applyAlignment="1" applyProtection="1">
      <alignment horizontal="center" vertical="center"/>
      <protection hidden="1"/>
    </xf>
    <xf numFmtId="3" fontId="47" fillId="0" borderId="346" xfId="0" applyNumberFormat="1" applyFont="1" applyFill="1" applyBorder="1" applyAlignment="1">
      <alignment horizontal="center" vertical="center"/>
    </xf>
    <xf numFmtId="3" fontId="46" fillId="0" borderId="346" xfId="0" applyNumberFormat="1" applyFont="1" applyFill="1" applyBorder="1" applyAlignment="1">
      <alignment horizontal="center" vertical="center"/>
    </xf>
    <xf numFmtId="0" fontId="121" fillId="2" borderId="104" xfId="0" applyFont="1" applyFill="1" applyBorder="1" applyAlignment="1">
      <alignment horizontal="left" vertical="center"/>
    </xf>
    <xf numFmtId="0" fontId="50" fillId="5" borderId="85" xfId="0" applyFont="1" applyFill="1" applyBorder="1" applyAlignment="1">
      <alignment vertical="center"/>
    </xf>
    <xf numFmtId="0" fontId="50" fillId="5" borderId="113" xfId="0" applyFont="1" applyFill="1" applyBorder="1" applyAlignment="1">
      <alignment vertical="center"/>
    </xf>
    <xf numFmtId="3" fontId="74" fillId="5" borderId="85" xfId="0" applyNumberFormat="1" applyFont="1" applyFill="1" applyBorder="1" applyAlignment="1">
      <alignment horizontal="left" vertical="center"/>
    </xf>
    <xf numFmtId="3" fontId="74" fillId="5" borderId="0" xfId="0" applyNumberFormat="1" applyFont="1" applyFill="1" applyBorder="1" applyAlignment="1">
      <alignment horizontal="left" vertical="center"/>
    </xf>
    <xf numFmtId="0" fontId="0" fillId="5" borderId="85" xfId="0" applyFill="1" applyBorder="1" applyAlignment="1">
      <alignment horizontal="left"/>
    </xf>
    <xf numFmtId="3" fontId="46" fillId="0" borderId="342" xfId="0" applyNumberFormat="1" applyFont="1" applyBorder="1" applyAlignment="1" applyProtection="1">
      <alignment horizontal="center" vertical="center"/>
      <protection hidden="1"/>
    </xf>
    <xf numFmtId="3" fontId="46" fillId="3" borderId="347" xfId="0" applyNumberFormat="1" applyFont="1" applyFill="1" applyBorder="1" applyAlignment="1" applyProtection="1">
      <alignment horizontal="center" vertical="center"/>
      <protection hidden="1"/>
    </xf>
    <xf numFmtId="0" fontId="20" fillId="3" borderId="348" xfId="0" applyFont="1" applyFill="1" applyBorder="1" applyAlignment="1">
      <alignment vertical="center"/>
    </xf>
    <xf numFmtId="0" fontId="0" fillId="2" borderId="349" xfId="0" applyFill="1" applyBorder="1"/>
    <xf numFmtId="0" fontId="0" fillId="5" borderId="350" xfId="0" applyFill="1" applyBorder="1" applyAlignment="1">
      <alignment horizontal="left"/>
    </xf>
    <xf numFmtId="0" fontId="0" fillId="0" borderId="349" xfId="0" applyBorder="1" applyAlignment="1">
      <alignment horizontal="left" vertical="center" wrapText="1"/>
    </xf>
    <xf numFmtId="0" fontId="0" fillId="0" borderId="351" xfId="0" applyBorder="1" applyAlignment="1">
      <alignment horizontal="left" vertical="center" wrapText="1"/>
    </xf>
    <xf numFmtId="0" fontId="0" fillId="2" borderId="352" xfId="0" applyFill="1" applyBorder="1" applyAlignment="1">
      <alignment horizontal="left" vertical="center" wrapText="1"/>
    </xf>
    <xf numFmtId="0" fontId="74" fillId="5" borderId="353" xfId="0" applyFont="1" applyFill="1" applyBorder="1" applyAlignment="1">
      <alignment vertical="center"/>
    </xf>
    <xf numFmtId="0" fontId="50" fillId="5" borderId="354" xfId="0" applyFont="1" applyFill="1" applyBorder="1" applyAlignment="1">
      <alignment vertical="center"/>
    </xf>
    <xf numFmtId="0" fontId="50" fillId="5" borderId="355" xfId="0" applyFont="1" applyFill="1" applyBorder="1" applyAlignment="1">
      <alignment vertical="center"/>
    </xf>
    <xf numFmtId="3" fontId="74" fillId="5" borderId="356" xfId="0" applyNumberFormat="1" applyFont="1" applyFill="1" applyBorder="1" applyAlignment="1">
      <alignment horizontal="left" vertical="center"/>
    </xf>
    <xf numFmtId="3" fontId="74" fillId="5" borderId="357" xfId="0" applyNumberFormat="1" applyFont="1" applyFill="1" applyBorder="1" applyAlignment="1">
      <alignment horizontal="left" vertical="center"/>
    </xf>
    <xf numFmtId="0" fontId="0" fillId="5" borderId="357" xfId="0" applyFill="1" applyBorder="1" applyAlignment="1">
      <alignment horizontal="left"/>
    </xf>
    <xf numFmtId="0" fontId="0" fillId="5" borderId="358" xfId="0" applyFill="1" applyBorder="1" applyAlignment="1">
      <alignment horizontal="left"/>
    </xf>
    <xf numFmtId="3" fontId="46" fillId="2" borderId="359" xfId="0" applyNumberFormat="1" applyFont="1" applyFill="1" applyBorder="1" applyAlignment="1" applyProtection="1">
      <alignment horizontal="center" vertical="center"/>
      <protection hidden="1"/>
    </xf>
    <xf numFmtId="3" fontId="46" fillId="2" borderId="360" xfId="0" applyNumberFormat="1" applyFont="1" applyFill="1" applyBorder="1" applyAlignment="1" applyProtection="1">
      <alignment horizontal="center" vertical="center"/>
      <protection hidden="1"/>
    </xf>
    <xf numFmtId="3" fontId="46" fillId="2" borderId="361" xfId="0" applyNumberFormat="1" applyFont="1" applyFill="1" applyBorder="1" applyAlignment="1" applyProtection="1">
      <alignment horizontal="center" vertical="center"/>
      <protection hidden="1"/>
    </xf>
    <xf numFmtId="3" fontId="45" fillId="0" borderId="1" xfId="0" applyNumberFormat="1" applyFont="1" applyBorder="1" applyAlignment="1" applyProtection="1">
      <alignment horizontal="center" vertical="center" wrapText="1"/>
      <protection hidden="1"/>
    </xf>
    <xf numFmtId="0" fontId="45" fillId="0" borderId="362" xfId="0" applyNumberFormat="1" applyFont="1" applyBorder="1" applyAlignment="1" applyProtection="1">
      <alignment horizontal="center" vertical="center" wrapText="1"/>
      <protection hidden="1"/>
    </xf>
    <xf numFmtId="0" fontId="45" fillId="0" borderId="363" xfId="0" applyNumberFormat="1" applyFont="1" applyBorder="1" applyAlignment="1" applyProtection="1">
      <alignment horizontal="center" vertical="center" wrapText="1"/>
      <protection hidden="1"/>
    </xf>
    <xf numFmtId="3" fontId="46" fillId="0" borderId="362" xfId="0" applyNumberFormat="1" applyFont="1" applyBorder="1" applyAlignment="1" applyProtection="1">
      <alignment horizontal="center" vertical="center"/>
      <protection hidden="1"/>
    </xf>
    <xf numFmtId="3" fontId="46" fillId="0" borderId="1" xfId="0" applyNumberFormat="1" applyFont="1" applyBorder="1" applyAlignment="1" applyProtection="1">
      <alignment horizontal="center" vertical="center"/>
      <protection hidden="1"/>
    </xf>
    <xf numFmtId="3" fontId="46" fillId="0" borderId="364" xfId="0" applyNumberFormat="1" applyFont="1" applyBorder="1" applyAlignment="1" applyProtection="1">
      <alignment horizontal="center" vertical="center"/>
      <protection hidden="1"/>
    </xf>
    <xf numFmtId="3" fontId="55" fillId="0" borderId="1" xfId="0" applyNumberFormat="1" applyFont="1" applyBorder="1" applyAlignment="1" applyProtection="1">
      <alignment horizontal="center" vertical="center" wrapText="1"/>
      <protection hidden="1"/>
    </xf>
    <xf numFmtId="3" fontId="46" fillId="0" borderId="365" xfId="0" applyNumberFormat="1" applyFont="1" applyBorder="1" applyAlignment="1" applyProtection="1">
      <alignment horizontal="center" vertical="center"/>
      <protection hidden="1"/>
    </xf>
    <xf numFmtId="3" fontId="46" fillId="0" borderId="366" xfId="0" applyNumberFormat="1" applyFont="1" applyBorder="1" applyAlignment="1" applyProtection="1">
      <alignment horizontal="center" vertical="center"/>
      <protection hidden="1"/>
    </xf>
    <xf numFmtId="0" fontId="0" fillId="5" borderId="367" xfId="0" applyFill="1" applyBorder="1" applyAlignment="1">
      <alignment horizontal="left"/>
    </xf>
    <xf numFmtId="3" fontId="81" fillId="3" borderId="0" xfId="0" applyNumberFormat="1" applyFont="1" applyFill="1" applyBorder="1" applyAlignment="1">
      <alignment horizontal="left" vertical="center"/>
    </xf>
    <xf numFmtId="0" fontId="0" fillId="3" borderId="0" xfId="0" applyFill="1" applyBorder="1" applyAlignment="1">
      <alignment horizontal="left" vertical="center"/>
    </xf>
    <xf numFmtId="0" fontId="0" fillId="3" borderId="349" xfId="0" applyFill="1" applyBorder="1" applyAlignment="1">
      <alignment horizontal="left" vertical="center"/>
    </xf>
    <xf numFmtId="0" fontId="45" fillId="0" borderId="368" xfId="0" applyNumberFormat="1" applyFont="1" applyBorder="1" applyAlignment="1" applyProtection="1">
      <alignment horizontal="center" vertical="center" wrapText="1"/>
      <protection hidden="1"/>
    </xf>
    <xf numFmtId="0" fontId="60" fillId="3" borderId="0" xfId="0" applyFont="1" applyFill="1" applyBorder="1" applyAlignment="1">
      <alignment horizontal="left" vertical="center"/>
    </xf>
    <xf numFmtId="0" fontId="33" fillId="3" borderId="159" xfId="0" applyFont="1" applyFill="1" applyBorder="1" applyAlignment="1"/>
    <xf numFmtId="3" fontId="46" fillId="0" borderId="369" xfId="0" applyNumberFormat="1" applyFont="1" applyBorder="1" applyAlignment="1" applyProtection="1">
      <alignment horizontal="center" vertical="center"/>
      <protection hidden="1"/>
    </xf>
    <xf numFmtId="3" fontId="46" fillId="0" borderId="363" xfId="0" applyNumberFormat="1" applyFont="1" applyBorder="1" applyAlignment="1" applyProtection="1">
      <alignment horizontal="center" vertical="center"/>
      <protection hidden="1"/>
    </xf>
    <xf numFmtId="0" fontId="59" fillId="3" borderId="370" xfId="0" applyFont="1" applyFill="1" applyBorder="1" applyAlignment="1">
      <alignment horizontal="left" vertical="center"/>
    </xf>
    <xf numFmtId="0" fontId="49" fillId="2" borderId="0" xfId="0" applyFont="1" applyFill="1" applyBorder="1" applyAlignment="1">
      <alignment horizontal="left" vertical="center" wrapText="1"/>
    </xf>
    <xf numFmtId="0" fontId="8" fillId="2" borderId="0" xfId="0" applyFont="1" applyFill="1" applyBorder="1" applyAlignment="1">
      <alignment horizontal="left" vertical="center" wrapText="1" indent="1"/>
    </xf>
    <xf numFmtId="0" fontId="0" fillId="2" borderId="0" xfId="0" applyFill="1" applyBorder="1" applyAlignment="1">
      <alignment horizontal="left" vertical="center" wrapText="1" indent="1"/>
    </xf>
    <xf numFmtId="0" fontId="1" fillId="0" borderId="4" xfId="0" applyFont="1" applyBorder="1" applyAlignment="1">
      <alignment vertical="center"/>
    </xf>
    <xf numFmtId="0" fontId="41" fillId="5" borderId="371" xfId="0" applyFont="1" applyFill="1" applyBorder="1" applyAlignment="1">
      <alignment horizontal="left" vertical="center"/>
    </xf>
    <xf numFmtId="0" fontId="40" fillId="5" borderId="371" xfId="0" applyFont="1" applyFill="1" applyBorder="1" applyAlignment="1">
      <alignment horizontal="center" vertical="center" wrapText="1"/>
    </xf>
    <xf numFmtId="0" fontId="39" fillId="5" borderId="371" xfId="0" applyFont="1" applyFill="1" applyBorder="1"/>
    <xf numFmtId="0" fontId="39" fillId="5" borderId="372" xfId="0" applyFont="1" applyFill="1" applyBorder="1"/>
    <xf numFmtId="0" fontId="74" fillId="5" borderId="373" xfId="0" applyFont="1" applyFill="1" applyBorder="1" applyAlignment="1">
      <alignment vertical="center"/>
    </xf>
    <xf numFmtId="0" fontId="83" fillId="2" borderId="374" xfId="0" applyFont="1" applyFill="1" applyBorder="1" applyAlignment="1">
      <alignment horizontal="left" vertical="center"/>
    </xf>
    <xf numFmtId="0" fontId="2" fillId="2" borderId="374" xfId="0" applyFont="1" applyFill="1" applyBorder="1" applyAlignment="1">
      <alignment vertical="center"/>
    </xf>
    <xf numFmtId="0" fontId="111" fillId="2" borderId="374" xfId="0" applyFont="1" applyFill="1" applyBorder="1" applyAlignment="1">
      <alignment horizontal="left" vertical="center"/>
    </xf>
    <xf numFmtId="0" fontId="0" fillId="2" borderId="374" xfId="0" applyFill="1" applyBorder="1" applyAlignment="1"/>
    <xf numFmtId="0" fontId="26" fillId="2" borderId="374" xfId="0" applyFont="1" applyFill="1" applyBorder="1" applyAlignment="1"/>
    <xf numFmtId="0" fontId="37" fillId="2" borderId="374" xfId="0" applyFont="1" applyFill="1" applyBorder="1" applyAlignment="1"/>
    <xf numFmtId="0" fontId="23" fillId="2" borderId="374" xfId="0" applyFont="1" applyFill="1" applyBorder="1" applyAlignment="1"/>
    <xf numFmtId="0" fontId="0" fillId="2" borderId="374" xfId="0" applyFill="1" applyBorder="1"/>
    <xf numFmtId="0" fontId="101" fillId="2" borderId="374" xfId="0" applyFont="1" applyFill="1" applyBorder="1" applyAlignment="1"/>
    <xf numFmtId="0" fontId="74" fillId="5" borderId="375" xfId="0" applyFont="1" applyFill="1" applyBorder="1" applyAlignment="1">
      <alignment horizontal="center" vertical="center"/>
    </xf>
    <xf numFmtId="0" fontId="1" fillId="2" borderId="376" xfId="0" applyFont="1" applyFill="1" applyBorder="1" applyAlignment="1">
      <alignment horizontal="left" vertical="center"/>
    </xf>
    <xf numFmtId="0" fontId="2" fillId="2" borderId="377" xfId="0" applyFont="1" applyFill="1" applyBorder="1" applyAlignment="1">
      <alignment vertical="center"/>
    </xf>
    <xf numFmtId="0" fontId="2" fillId="3" borderId="342" xfId="0" applyFont="1" applyFill="1" applyBorder="1" applyAlignment="1">
      <alignment vertical="center"/>
    </xf>
    <xf numFmtId="0" fontId="18" fillId="3" borderId="0" xfId="0" applyFont="1" applyFill="1" applyBorder="1" applyAlignment="1">
      <alignment vertical="center"/>
    </xf>
    <xf numFmtId="3" fontId="18" fillId="3" borderId="0" xfId="0" applyNumberFormat="1" applyFont="1" applyFill="1" applyBorder="1" applyAlignment="1">
      <alignment horizontal="left" vertical="center"/>
    </xf>
    <xf numFmtId="0" fontId="83" fillId="4" borderId="378" xfId="0" applyFont="1" applyFill="1" applyBorder="1" applyAlignment="1">
      <alignment horizontal="left" vertical="center"/>
    </xf>
    <xf numFmtId="0" fontId="102" fillId="4" borderId="379" xfId="0" applyFont="1" applyFill="1" applyBorder="1" applyAlignment="1"/>
    <xf numFmtId="0" fontId="37" fillId="4" borderId="380" xfId="0" applyFont="1" applyFill="1" applyBorder="1" applyAlignment="1"/>
    <xf numFmtId="0" fontId="37" fillId="4" borderId="379" xfId="0" applyFont="1" applyFill="1" applyBorder="1" applyAlignment="1"/>
    <xf numFmtId="0" fontId="26" fillId="4" borderId="374" xfId="0" applyFont="1" applyFill="1" applyBorder="1" applyAlignment="1">
      <alignment vertical="center"/>
    </xf>
    <xf numFmtId="0" fontId="0" fillId="4" borderId="379" xfId="0" applyFill="1" applyBorder="1"/>
    <xf numFmtId="0" fontId="23" fillId="4" borderId="379" xfId="0" applyFont="1" applyFill="1" applyBorder="1" applyAlignment="1"/>
    <xf numFmtId="0" fontId="23" fillId="4" borderId="380" xfId="0" applyFont="1" applyFill="1" applyBorder="1" applyAlignment="1"/>
    <xf numFmtId="3" fontId="46" fillId="3" borderId="349" xfId="0" applyNumberFormat="1" applyFont="1" applyFill="1" applyBorder="1" applyAlignment="1">
      <alignment horizontal="center" vertical="center"/>
    </xf>
    <xf numFmtId="0" fontId="1" fillId="3" borderId="381" xfId="0" applyFont="1" applyFill="1" applyBorder="1" applyAlignment="1">
      <alignment vertical="center"/>
    </xf>
    <xf numFmtId="0" fontId="2" fillId="3" borderId="382" xfId="0" applyFont="1" applyFill="1" applyBorder="1" applyAlignment="1">
      <alignment vertical="center"/>
    </xf>
    <xf numFmtId="3" fontId="46" fillId="3" borderId="383" xfId="0" applyNumberFormat="1" applyFont="1" applyFill="1" applyBorder="1" applyAlignment="1" applyProtection="1">
      <alignment horizontal="center" vertical="center"/>
      <protection hidden="1"/>
    </xf>
    <xf numFmtId="0" fontId="18" fillId="3" borderId="374" xfId="0" applyFont="1" applyFill="1" applyBorder="1" applyAlignment="1">
      <alignment vertical="center"/>
    </xf>
    <xf numFmtId="0" fontId="37" fillId="3" borderId="374" xfId="0" applyFont="1" applyFill="1" applyBorder="1" applyAlignment="1"/>
    <xf numFmtId="0" fontId="23" fillId="3" borderId="374" xfId="0" applyFont="1" applyFill="1" applyBorder="1" applyAlignment="1"/>
    <xf numFmtId="3" fontId="46" fillId="3" borderId="351" xfId="0" applyNumberFormat="1" applyFont="1" applyFill="1" applyBorder="1" applyAlignment="1">
      <alignment horizontal="center" vertical="center"/>
    </xf>
    <xf numFmtId="0" fontId="2" fillId="2" borderId="341" xfId="0" applyFont="1" applyFill="1" applyBorder="1" applyAlignment="1">
      <alignment vertical="center"/>
    </xf>
    <xf numFmtId="0" fontId="18" fillId="2" borderId="307" xfId="0" applyFont="1" applyFill="1" applyBorder="1" applyAlignment="1">
      <alignment vertical="center"/>
    </xf>
    <xf numFmtId="0" fontId="37" fillId="2" borderId="307" xfId="0" applyFont="1" applyFill="1" applyBorder="1" applyAlignment="1"/>
    <xf numFmtId="0" fontId="23" fillId="2" borderId="384" xfId="0" applyFont="1" applyFill="1" applyBorder="1" applyAlignment="1"/>
    <xf numFmtId="3" fontId="46" fillId="2" borderId="385" xfId="0" applyNumberFormat="1" applyFont="1" applyFill="1" applyBorder="1" applyAlignment="1">
      <alignment horizontal="center" vertical="center"/>
    </xf>
    <xf numFmtId="0" fontId="18" fillId="2" borderId="0" xfId="0" applyFont="1" applyFill="1" applyBorder="1" applyAlignment="1">
      <alignment vertical="center"/>
    </xf>
    <xf numFmtId="3" fontId="46" fillId="2" borderId="349" xfId="0" applyNumberFormat="1" applyFont="1" applyFill="1" applyBorder="1" applyAlignment="1">
      <alignment horizontal="center" vertical="center"/>
    </xf>
    <xf numFmtId="0" fontId="23" fillId="2" borderId="3" xfId="0" applyFont="1" applyFill="1" applyBorder="1" applyAlignment="1"/>
    <xf numFmtId="0" fontId="1" fillId="0" borderId="386" xfId="0" applyFont="1" applyBorder="1" applyAlignment="1">
      <alignment horizontal="left" vertical="center"/>
    </xf>
    <xf numFmtId="0" fontId="1" fillId="2" borderId="387" xfId="0" applyFont="1" applyFill="1" applyBorder="1" applyAlignment="1">
      <alignment horizontal="left" vertical="center"/>
    </xf>
    <xf numFmtId="0" fontId="2" fillId="2" borderId="388" xfId="0" applyFont="1" applyFill="1" applyBorder="1" applyAlignment="1">
      <alignment vertical="center"/>
    </xf>
    <xf numFmtId="3" fontId="46" fillId="2" borderId="389" xfId="0" applyNumberFormat="1" applyFont="1" applyFill="1" applyBorder="1" applyAlignment="1" applyProtection="1">
      <alignment horizontal="center" vertical="center"/>
      <protection hidden="1"/>
    </xf>
    <xf numFmtId="0" fontId="20" fillId="2" borderId="326" xfId="0" applyFont="1" applyFill="1" applyBorder="1" applyAlignment="1">
      <alignment vertical="center"/>
    </xf>
    <xf numFmtId="0" fontId="20" fillId="2" borderId="338" xfId="0" applyFont="1" applyFill="1" applyBorder="1" applyAlignment="1">
      <alignment vertical="center"/>
    </xf>
    <xf numFmtId="0" fontId="2" fillId="2" borderId="338" xfId="0" applyFont="1" applyFill="1" applyBorder="1" applyAlignment="1">
      <alignment vertical="center"/>
    </xf>
    <xf numFmtId="0" fontId="2" fillId="3" borderId="390" xfId="0" applyFont="1" applyFill="1" applyBorder="1" applyAlignment="1">
      <alignment vertical="center"/>
    </xf>
    <xf numFmtId="0" fontId="20" fillId="3" borderId="326" xfId="0" applyFont="1" applyFill="1" applyBorder="1" applyAlignment="1">
      <alignment vertical="center"/>
    </xf>
    <xf numFmtId="0" fontId="0" fillId="2" borderId="391" xfId="0" applyFill="1" applyBorder="1"/>
    <xf numFmtId="0" fontId="88" fillId="2" borderId="374" xfId="0" applyFont="1" applyFill="1" applyBorder="1" applyAlignment="1">
      <alignment horizontal="center" vertical="center"/>
    </xf>
    <xf numFmtId="0" fontId="20" fillId="2" borderId="374" xfId="0" applyFont="1" applyFill="1" applyBorder="1" applyAlignment="1"/>
    <xf numFmtId="0" fontId="1" fillId="3" borderId="0" xfId="0" applyFont="1" applyFill="1" applyBorder="1" applyAlignment="1">
      <alignment horizontal="left" vertical="center"/>
    </xf>
    <xf numFmtId="3" fontId="46" fillId="0" borderId="349" xfId="0" applyNumberFormat="1" applyFont="1" applyBorder="1" applyAlignment="1">
      <alignment horizontal="center" vertical="center"/>
    </xf>
    <xf numFmtId="0" fontId="23" fillId="3" borderId="349" xfId="0" applyFont="1" applyFill="1" applyBorder="1" applyAlignment="1"/>
    <xf numFmtId="0" fontId="2" fillId="2" borderId="382" xfId="0" applyFont="1" applyFill="1" applyBorder="1" applyAlignment="1">
      <alignment vertical="center"/>
    </xf>
    <xf numFmtId="0" fontId="20" fillId="2" borderId="392" xfId="0" applyFont="1" applyFill="1" applyBorder="1" applyAlignment="1">
      <alignment vertical="center"/>
    </xf>
    <xf numFmtId="0" fontId="20" fillId="2" borderId="382" xfId="0" applyFont="1" applyFill="1" applyBorder="1" applyAlignment="1">
      <alignment vertical="center"/>
    </xf>
    <xf numFmtId="0" fontId="23" fillId="2" borderId="351" xfId="0" applyFont="1" applyFill="1" applyBorder="1" applyAlignment="1"/>
    <xf numFmtId="0" fontId="50" fillId="5" borderId="375" xfId="0" applyFont="1" applyFill="1" applyBorder="1" applyAlignment="1">
      <alignment vertical="center"/>
    </xf>
    <xf numFmtId="0" fontId="13" fillId="2" borderId="374" xfId="0" applyFont="1" applyFill="1" applyBorder="1" applyAlignment="1">
      <alignment vertical="center" wrapText="1"/>
    </xf>
    <xf numFmtId="0" fontId="0" fillId="2" borderId="374" xfId="0" applyFill="1" applyBorder="1" applyAlignment="1">
      <alignment wrapText="1"/>
    </xf>
    <xf numFmtId="3" fontId="46" fillId="2" borderId="374" xfId="0" applyNumberFormat="1" applyFont="1" applyFill="1" applyBorder="1" applyAlignment="1">
      <alignment horizontal="center" vertical="center"/>
    </xf>
    <xf numFmtId="0" fontId="10" fillId="2" borderId="393" xfId="0" applyFont="1" applyFill="1" applyBorder="1" applyAlignment="1">
      <alignment vertical="center"/>
    </xf>
    <xf numFmtId="0" fontId="0" fillId="2" borderId="394" xfId="0" applyFill="1" applyBorder="1" applyAlignment="1">
      <alignment vertical="center" wrapText="1"/>
    </xf>
    <xf numFmtId="0" fontId="0" fillId="2" borderId="374" xfId="0" applyFill="1" applyBorder="1" applyAlignment="1">
      <alignment vertical="center" wrapText="1"/>
    </xf>
    <xf numFmtId="3" fontId="74" fillId="5" borderId="306" xfId="0" applyNumberFormat="1" applyFont="1" applyFill="1" applyBorder="1" applyAlignment="1">
      <alignment horizontal="left" vertical="center"/>
    </xf>
    <xf numFmtId="0" fontId="83" fillId="2" borderId="374" xfId="0" applyFont="1" applyFill="1" applyBorder="1"/>
    <xf numFmtId="0" fontId="74" fillId="5" borderId="395" xfId="0" applyFont="1" applyFill="1" applyBorder="1" applyAlignment="1">
      <alignment horizontal="center" vertical="center"/>
    </xf>
    <xf numFmtId="0" fontId="1" fillId="0" borderId="396" xfId="0" applyFont="1" applyBorder="1" applyAlignment="1">
      <alignment vertical="center"/>
    </xf>
    <xf numFmtId="0" fontId="2" fillId="0" borderId="397" xfId="0" applyFont="1" applyFill="1" applyBorder="1" applyAlignment="1">
      <alignment vertical="center"/>
    </xf>
    <xf numFmtId="3" fontId="46" fillId="0" borderId="398" xfId="0" applyNumberFormat="1" applyFont="1" applyBorder="1" applyAlignment="1" applyProtection="1">
      <alignment horizontal="center" vertical="center"/>
      <protection hidden="1"/>
    </xf>
    <xf numFmtId="0" fontId="18" fillId="0" borderId="397" xfId="0" applyFont="1" applyFill="1" applyBorder="1" applyAlignment="1">
      <alignment vertical="center"/>
    </xf>
    <xf numFmtId="0" fontId="37" fillId="2" borderId="397" xfId="0" applyFont="1" applyFill="1" applyBorder="1" applyAlignment="1"/>
    <xf numFmtId="0" fontId="23" fillId="2" borderId="397" xfId="0" applyFont="1" applyFill="1" applyBorder="1" applyAlignment="1"/>
    <xf numFmtId="3" fontId="46" fillId="0" borderId="399" xfId="0" applyNumberFormat="1" applyFont="1" applyBorder="1" applyAlignment="1">
      <alignment horizontal="center" vertical="center"/>
    </xf>
    <xf numFmtId="3" fontId="46" fillId="0" borderId="400" xfId="0" applyNumberFormat="1" applyFont="1" applyFill="1" applyBorder="1" applyAlignment="1">
      <alignment horizontal="center" vertical="center"/>
    </xf>
    <xf numFmtId="3" fontId="46" fillId="0" borderId="401" xfId="0" applyNumberFormat="1" applyFont="1" applyFill="1" applyBorder="1" applyAlignment="1">
      <alignment horizontal="center" vertical="center"/>
    </xf>
    <xf numFmtId="0" fontId="88" fillId="5" borderId="402" xfId="0" applyFont="1" applyFill="1" applyBorder="1" applyAlignment="1">
      <alignment horizontal="center" vertical="center"/>
    </xf>
    <xf numFmtId="0" fontId="2" fillId="5" borderId="374" xfId="0" applyFont="1" applyFill="1" applyBorder="1" applyAlignment="1">
      <alignment vertical="center"/>
    </xf>
    <xf numFmtId="0" fontId="20" fillId="5" borderId="374" xfId="0" applyFont="1" applyFill="1" applyBorder="1" applyAlignment="1">
      <alignment vertical="center"/>
    </xf>
    <xf numFmtId="0" fontId="0" fillId="5" borderId="374" xfId="0" applyFill="1" applyBorder="1" applyAlignment="1"/>
    <xf numFmtId="0" fontId="37" fillId="5" borderId="374" xfId="0" applyFont="1" applyFill="1" applyBorder="1" applyAlignment="1"/>
    <xf numFmtId="0" fontId="23" fillId="5" borderId="374" xfId="0" applyFont="1" applyFill="1" applyBorder="1" applyAlignment="1"/>
    <xf numFmtId="0" fontId="23" fillId="5" borderId="351" xfId="0" applyFont="1" applyFill="1" applyBorder="1" applyAlignment="1"/>
    <xf numFmtId="0" fontId="88" fillId="0" borderId="235" xfId="0" applyFont="1" applyFill="1" applyBorder="1" applyAlignment="1">
      <alignment horizontal="center" vertical="center"/>
    </xf>
    <xf numFmtId="0" fontId="74" fillId="5" borderId="306" xfId="0" applyFont="1" applyFill="1" applyBorder="1" applyAlignment="1">
      <alignment horizontal="center" vertical="center"/>
    </xf>
    <xf numFmtId="0" fontId="101" fillId="5" borderId="273" xfId="0" applyFont="1" applyFill="1" applyBorder="1" applyAlignment="1">
      <alignment vertical="center"/>
    </xf>
    <xf numFmtId="0" fontId="0" fillId="5" borderId="252" xfId="0" applyFill="1" applyBorder="1" applyAlignment="1">
      <alignment vertical="center"/>
    </xf>
    <xf numFmtId="0" fontId="0" fillId="5" borderId="287" xfId="0" applyFill="1" applyBorder="1" applyAlignment="1">
      <alignment vertical="center"/>
    </xf>
    <xf numFmtId="0" fontId="23" fillId="5" borderId="395" xfId="0" applyFont="1" applyFill="1" applyBorder="1" applyAlignment="1"/>
    <xf numFmtId="3" fontId="47" fillId="2" borderId="349" xfId="0" applyNumberFormat="1" applyFont="1" applyFill="1" applyBorder="1" applyAlignment="1">
      <alignment horizontal="center" vertical="center"/>
    </xf>
    <xf numFmtId="0" fontId="88" fillId="0" borderId="403" xfId="0" applyFont="1" applyFill="1" applyBorder="1" applyAlignment="1">
      <alignment horizontal="center" vertical="center"/>
    </xf>
    <xf numFmtId="0" fontId="13" fillId="0" borderId="404" xfId="0" applyFont="1" applyBorder="1" applyAlignment="1">
      <alignment vertical="center"/>
    </xf>
    <xf numFmtId="3" fontId="46" fillId="0" borderId="405" xfId="0" applyNumberFormat="1" applyFont="1" applyBorder="1" applyAlignment="1" applyProtection="1">
      <alignment horizontal="center" vertical="center"/>
      <protection hidden="1"/>
    </xf>
    <xf numFmtId="3" fontId="46" fillId="2" borderId="351" xfId="0" applyNumberFormat="1" applyFont="1" applyFill="1" applyBorder="1" applyAlignment="1">
      <alignment horizontal="center" vertical="center"/>
    </xf>
    <xf numFmtId="3" fontId="46" fillId="0" borderId="406" xfId="0" applyNumberFormat="1" applyFont="1" applyBorder="1" applyAlignment="1" applyProtection="1">
      <alignment horizontal="center" vertical="center"/>
      <protection hidden="1"/>
    </xf>
    <xf numFmtId="3" fontId="46" fillId="0" borderId="407" xfId="0" applyNumberFormat="1" applyFont="1" applyBorder="1" applyAlignment="1" applyProtection="1">
      <alignment horizontal="center" vertical="center"/>
      <protection hidden="1"/>
    </xf>
    <xf numFmtId="0" fontId="23" fillId="2" borderId="349" xfId="0" applyFont="1" applyFill="1" applyBorder="1" applyAlignment="1"/>
    <xf numFmtId="0" fontId="1" fillId="3" borderId="408" xfId="0" applyFont="1" applyFill="1" applyBorder="1" applyAlignment="1">
      <alignment horizontal="left" vertical="center"/>
    </xf>
    <xf numFmtId="0" fontId="0" fillId="0" borderId="409" xfId="0" applyBorder="1" applyAlignment="1">
      <alignment horizontal="left" vertical="center" wrapText="1"/>
    </xf>
    <xf numFmtId="0" fontId="0" fillId="0" borderId="400" xfId="0" applyBorder="1" applyAlignment="1">
      <alignment horizontal="left" vertical="center" wrapText="1"/>
    </xf>
    <xf numFmtId="0" fontId="0" fillId="0" borderId="410" xfId="0" applyBorder="1" applyAlignment="1">
      <alignment horizontal="left" vertical="center" wrapText="1"/>
    </xf>
    <xf numFmtId="0" fontId="0" fillId="0" borderId="411" xfId="0" applyBorder="1" applyAlignment="1">
      <alignment horizontal="left" vertical="center" wrapText="1"/>
    </xf>
    <xf numFmtId="0" fontId="0" fillId="0" borderId="412" xfId="0" applyBorder="1" applyAlignment="1">
      <alignment horizontal="left" vertical="center" wrapText="1"/>
    </xf>
    <xf numFmtId="3" fontId="74" fillId="5" borderId="273" xfId="0" applyNumberFormat="1" applyFont="1" applyFill="1" applyBorder="1" applyAlignment="1">
      <alignment horizontal="left" vertical="center" indent="1"/>
    </xf>
    <xf numFmtId="0" fontId="37" fillId="2" borderId="374" xfId="0" applyFont="1" applyFill="1" applyBorder="1" applyAlignment="1">
      <alignment wrapText="1"/>
    </xf>
    <xf numFmtId="0" fontId="0" fillId="2" borderId="374" xfId="0" applyFill="1" applyBorder="1" applyAlignment="1">
      <alignment horizontal="left" vertical="center"/>
    </xf>
    <xf numFmtId="0" fontId="1" fillId="3" borderId="413" xfId="0" applyFont="1" applyFill="1" applyBorder="1" applyAlignment="1">
      <alignment vertical="center"/>
    </xf>
    <xf numFmtId="0" fontId="37" fillId="3" borderId="342" xfId="0" applyFont="1" applyFill="1" applyBorder="1" applyAlignment="1">
      <alignment wrapText="1"/>
    </xf>
    <xf numFmtId="0" fontId="37" fillId="3" borderId="414" xfId="0" applyFont="1" applyFill="1" applyBorder="1" applyAlignment="1">
      <alignment wrapText="1"/>
    </xf>
    <xf numFmtId="3" fontId="46" fillId="3" borderId="392" xfId="0" applyNumberFormat="1" applyFont="1" applyFill="1" applyBorder="1" applyAlignment="1" applyProtection="1">
      <alignment horizontal="center" vertical="center"/>
      <protection hidden="1"/>
    </xf>
    <xf numFmtId="3" fontId="46" fillId="3" borderId="342" xfId="0" applyNumberFormat="1" applyFont="1" applyFill="1" applyBorder="1" applyAlignment="1" applyProtection="1">
      <alignment horizontal="center" vertical="center"/>
      <protection hidden="1"/>
    </xf>
    <xf numFmtId="3" fontId="46" fillId="3" borderId="382" xfId="0" applyNumberFormat="1" applyFont="1" applyFill="1" applyBorder="1" applyAlignment="1" applyProtection="1">
      <alignment horizontal="center" vertical="center"/>
      <protection hidden="1"/>
    </xf>
    <xf numFmtId="0" fontId="2" fillId="0" borderId="415" xfId="0" applyFont="1" applyFill="1" applyBorder="1" applyAlignment="1">
      <alignment vertical="center"/>
    </xf>
    <xf numFmtId="0" fontId="2" fillId="0" borderId="416" xfId="0" applyFont="1" applyFill="1" applyBorder="1" applyAlignment="1">
      <alignment vertical="center"/>
    </xf>
    <xf numFmtId="3" fontId="46" fillId="0" borderId="329" xfId="0" applyNumberFormat="1" applyFont="1" applyBorder="1" applyAlignment="1" applyProtection="1">
      <alignment horizontal="center" vertical="center"/>
      <protection hidden="1"/>
    </xf>
    <xf numFmtId="3" fontId="46" fillId="0" borderId="236" xfId="0" applyNumberFormat="1" applyFont="1" applyBorder="1" applyAlignment="1" applyProtection="1">
      <alignment horizontal="center" vertical="center"/>
      <protection hidden="1"/>
    </xf>
    <xf numFmtId="3" fontId="46" fillId="0" borderId="338" xfId="0" applyNumberFormat="1" applyFont="1" applyBorder="1" applyAlignment="1" applyProtection="1">
      <alignment horizontal="center" vertical="center"/>
      <protection hidden="1"/>
    </xf>
    <xf numFmtId="3" fontId="46" fillId="3" borderId="417" xfId="0" applyNumberFormat="1" applyFont="1" applyFill="1" applyBorder="1" applyAlignment="1" applyProtection="1">
      <alignment horizontal="center" vertical="center"/>
      <protection hidden="1"/>
    </xf>
    <xf numFmtId="3" fontId="46" fillId="3" borderId="418" xfId="0" applyNumberFormat="1" applyFont="1" applyFill="1" applyBorder="1" applyAlignment="1" applyProtection="1">
      <alignment horizontal="center" vertical="center"/>
      <protection hidden="1"/>
    </xf>
    <xf numFmtId="3" fontId="46" fillId="3" borderId="338" xfId="0" applyNumberFormat="1" applyFont="1" applyFill="1" applyBorder="1" applyAlignment="1" applyProtection="1">
      <alignment horizontal="center" vertical="center"/>
      <protection hidden="1"/>
    </xf>
    <xf numFmtId="0" fontId="18" fillId="0" borderId="348" xfId="0" applyFont="1" applyFill="1" applyBorder="1" applyAlignment="1">
      <alignment vertical="center"/>
    </xf>
    <xf numFmtId="0" fontId="13" fillId="3" borderId="321" xfId="0" applyFont="1" applyFill="1" applyBorder="1" applyAlignment="1">
      <alignment vertical="center"/>
    </xf>
    <xf numFmtId="3" fontId="47" fillId="3" borderId="235" xfId="0" applyNumberFormat="1" applyFont="1" applyFill="1" applyBorder="1" applyAlignment="1" applyProtection="1">
      <alignment horizontal="center" vertical="center"/>
      <protection hidden="1"/>
    </xf>
    <xf numFmtId="3" fontId="46" fillId="3" borderId="235" xfId="0" applyNumberFormat="1" applyFont="1" applyFill="1" applyBorder="1" applyAlignment="1" applyProtection="1">
      <alignment horizontal="center" vertical="center"/>
      <protection hidden="1"/>
    </xf>
    <xf numFmtId="0" fontId="13" fillId="3" borderId="41" xfId="0" applyFont="1" applyFill="1" applyBorder="1" applyAlignment="1">
      <alignment vertical="center"/>
    </xf>
    <xf numFmtId="0" fontId="1" fillId="3" borderId="419" xfId="0" applyFont="1" applyFill="1" applyBorder="1" applyAlignment="1">
      <alignment vertical="center"/>
    </xf>
    <xf numFmtId="0" fontId="13" fillId="3" borderId="15" xfId="0" applyFont="1" applyFill="1" applyBorder="1" applyAlignment="1">
      <alignment vertical="center"/>
    </xf>
    <xf numFmtId="3" fontId="46" fillId="3" borderId="420" xfId="0" applyNumberFormat="1" applyFont="1" applyFill="1" applyBorder="1" applyAlignment="1">
      <alignment horizontal="center" vertical="center"/>
    </xf>
    <xf numFmtId="0" fontId="88" fillId="3" borderId="421" xfId="0" applyFont="1" applyFill="1" applyBorder="1" applyAlignment="1">
      <alignment horizontal="center" vertical="center"/>
    </xf>
    <xf numFmtId="0" fontId="13" fillId="3" borderId="413" xfId="0" applyFont="1" applyFill="1" applyBorder="1" applyAlignment="1">
      <alignment vertical="center"/>
    </xf>
    <xf numFmtId="0" fontId="1" fillId="3" borderId="422" xfId="0" applyFont="1" applyFill="1" applyBorder="1" applyAlignment="1">
      <alignment vertical="center"/>
    </xf>
    <xf numFmtId="3" fontId="46" fillId="3" borderId="423" xfId="0" applyNumberFormat="1" applyFont="1" applyFill="1" applyBorder="1" applyAlignment="1">
      <alignment horizontal="center" vertical="center"/>
    </xf>
    <xf numFmtId="0" fontId="37" fillId="2" borderId="424" xfId="0" applyFont="1" applyFill="1" applyBorder="1" applyAlignment="1"/>
    <xf numFmtId="0" fontId="88" fillId="2" borderId="408" xfId="0" applyFont="1" applyFill="1" applyBorder="1" applyAlignment="1">
      <alignment horizontal="center" vertical="center"/>
    </xf>
    <xf numFmtId="0" fontId="1" fillId="0" borderId="419" xfId="0" applyFont="1" applyFill="1" applyBorder="1" applyAlignment="1">
      <alignment vertical="center"/>
    </xf>
    <xf numFmtId="3" fontId="47" fillId="0" borderId="341" xfId="0" applyNumberFormat="1" applyFont="1" applyFill="1" applyBorder="1" applyAlignment="1">
      <alignment horizontal="center" vertical="center"/>
    </xf>
    <xf numFmtId="3" fontId="47" fillId="3" borderId="420" xfId="0" applyNumberFormat="1" applyFont="1" applyFill="1" applyBorder="1" applyAlignment="1">
      <alignment horizontal="center" vertical="center"/>
    </xf>
    <xf numFmtId="0" fontId="13" fillId="3" borderId="322" xfId="0" applyFont="1" applyFill="1" applyBorder="1" applyAlignment="1">
      <alignment vertical="center"/>
    </xf>
    <xf numFmtId="0" fontId="13" fillId="2" borderId="321" xfId="0" applyFont="1" applyFill="1" applyBorder="1" applyAlignment="1">
      <alignment vertical="center"/>
    </xf>
    <xf numFmtId="3" fontId="47" fillId="2" borderId="235" xfId="0" applyNumberFormat="1" applyFont="1" applyFill="1" applyBorder="1" applyAlignment="1" applyProtection="1">
      <alignment horizontal="center" vertical="center"/>
      <protection hidden="1"/>
    </xf>
    <xf numFmtId="0" fontId="10" fillId="2" borderId="425" xfId="0" applyFont="1" applyFill="1" applyBorder="1" applyAlignment="1">
      <alignment vertical="center"/>
    </xf>
    <xf numFmtId="0" fontId="0" fillId="2" borderId="5" xfId="0" applyFont="1" applyFill="1" applyBorder="1" applyAlignment="1">
      <alignment vertical="center"/>
    </xf>
    <xf numFmtId="0" fontId="13" fillId="2" borderId="15" xfId="0" applyFont="1" applyFill="1" applyBorder="1" applyAlignment="1">
      <alignment vertical="center"/>
    </xf>
    <xf numFmtId="0" fontId="1" fillId="2" borderId="419" xfId="0" applyFont="1" applyFill="1" applyBorder="1" applyAlignment="1">
      <alignment vertical="center"/>
    </xf>
    <xf numFmtId="3" fontId="47" fillId="2" borderId="341" xfId="0" applyNumberFormat="1" applyFont="1" applyFill="1" applyBorder="1" applyAlignment="1">
      <alignment horizontal="center" vertical="center"/>
    </xf>
    <xf numFmtId="0" fontId="1" fillId="3" borderId="60" xfId="0" applyFont="1" applyFill="1" applyBorder="1" applyAlignment="1">
      <alignment vertical="center"/>
    </xf>
    <xf numFmtId="0" fontId="88" fillId="3" borderId="405" xfId="0" applyFont="1" applyFill="1" applyBorder="1" applyAlignment="1">
      <alignment horizontal="center" vertical="center"/>
    </xf>
    <xf numFmtId="3" fontId="46" fillId="3" borderId="405" xfId="0" applyNumberFormat="1" applyFont="1" applyFill="1" applyBorder="1" applyAlignment="1" applyProtection="1">
      <alignment horizontal="center" vertical="center"/>
      <protection hidden="1"/>
    </xf>
    <xf numFmtId="3" fontId="47" fillId="3" borderId="426" xfId="0" applyNumberFormat="1" applyFont="1" applyFill="1" applyBorder="1" applyAlignment="1" applyProtection="1">
      <alignment horizontal="center" vertical="center"/>
      <protection hidden="1"/>
    </xf>
    <xf numFmtId="3" fontId="47" fillId="2" borderId="406" xfId="0" applyNumberFormat="1" applyFont="1" applyFill="1" applyBorder="1" applyAlignment="1" applyProtection="1">
      <alignment horizontal="center" vertical="center"/>
      <protection hidden="1"/>
    </xf>
    <xf numFmtId="3" fontId="47" fillId="3" borderId="406" xfId="0" applyNumberFormat="1" applyFont="1" applyFill="1" applyBorder="1" applyAlignment="1" applyProtection="1">
      <alignment horizontal="center" vertical="center"/>
      <protection hidden="1"/>
    </xf>
    <xf numFmtId="3" fontId="46" fillId="3" borderId="406" xfId="0" applyNumberFormat="1" applyFont="1" applyFill="1" applyBorder="1" applyAlignment="1" applyProtection="1">
      <alignment horizontal="center" vertical="center"/>
      <protection hidden="1"/>
    </xf>
    <xf numFmtId="0" fontId="2" fillId="3" borderId="427" xfId="0" applyFont="1" applyFill="1" applyBorder="1" applyAlignment="1">
      <alignment vertical="center"/>
    </xf>
    <xf numFmtId="3" fontId="46" fillId="3" borderId="428" xfId="0" applyNumberFormat="1" applyFont="1" applyFill="1" applyBorder="1" applyAlignment="1" applyProtection="1">
      <alignment horizontal="center" vertical="center"/>
      <protection hidden="1"/>
    </xf>
    <xf numFmtId="0" fontId="1" fillId="3" borderId="429" xfId="0" applyFont="1" applyFill="1" applyBorder="1" applyAlignment="1">
      <alignment horizontal="left" vertical="center"/>
    </xf>
    <xf numFmtId="0" fontId="1" fillId="3" borderId="281" xfId="0" applyFont="1" applyFill="1" applyBorder="1" applyAlignment="1">
      <alignment horizontal="left" vertical="center"/>
    </xf>
    <xf numFmtId="0" fontId="1" fillId="3" borderId="374" xfId="0" applyFont="1" applyFill="1" applyBorder="1" applyAlignment="1">
      <alignment horizontal="left" vertical="center"/>
    </xf>
    <xf numFmtId="0" fontId="122" fillId="0" borderId="211" xfId="0" applyNumberFormat="1" applyFont="1" applyFill="1" applyBorder="1" applyAlignment="1" applyProtection="1">
      <alignment horizontal="center" vertical="center" wrapText="1"/>
      <protection hidden="1"/>
    </xf>
    <xf numFmtId="0" fontId="122" fillId="0" borderId="205" xfId="0" applyNumberFormat="1" applyFont="1" applyFill="1" applyBorder="1" applyAlignment="1" applyProtection="1">
      <alignment horizontal="center" vertical="center" wrapText="1"/>
      <protection hidden="1"/>
    </xf>
    <xf numFmtId="3" fontId="122" fillId="2" borderId="430" xfId="0" applyNumberFormat="1" applyFont="1" applyFill="1" applyBorder="1" applyAlignment="1" applyProtection="1">
      <alignment horizontal="center" vertical="center" wrapText="1"/>
      <protection hidden="1"/>
    </xf>
    <xf numFmtId="3" fontId="44" fillId="0" borderId="326" xfId="0" applyNumberFormat="1" applyFont="1" applyBorder="1" applyAlignment="1" applyProtection="1">
      <alignment horizontal="center" vertical="center" wrapText="1"/>
      <protection hidden="1"/>
    </xf>
    <xf numFmtId="3" fontId="44" fillId="3" borderId="329" xfId="0" applyNumberFormat="1" applyFont="1" applyFill="1" applyBorder="1" applyAlignment="1" applyProtection="1">
      <alignment horizontal="center" vertical="center" wrapText="1"/>
      <protection hidden="1"/>
    </xf>
    <xf numFmtId="3" fontId="44" fillId="3" borderId="326" xfId="0" applyNumberFormat="1" applyFont="1" applyFill="1" applyBorder="1" applyAlignment="1" applyProtection="1">
      <alignment horizontal="center" vertical="center" wrapText="1"/>
      <protection hidden="1"/>
    </xf>
    <xf numFmtId="3" fontId="44" fillId="2" borderId="326" xfId="0" applyNumberFormat="1" applyFont="1" applyFill="1" applyBorder="1" applyAlignment="1" applyProtection="1">
      <alignment horizontal="center" vertical="center" wrapText="1"/>
      <protection hidden="1"/>
    </xf>
    <xf numFmtId="3" fontId="44" fillId="2" borderId="329" xfId="0" applyNumberFormat="1" applyFont="1" applyFill="1" applyBorder="1" applyAlignment="1" applyProtection="1">
      <alignment horizontal="center" vertical="center" wrapText="1"/>
      <protection hidden="1"/>
    </xf>
    <xf numFmtId="3" fontId="47" fillId="3" borderId="405" xfId="0" applyNumberFormat="1" applyFont="1" applyFill="1" applyBorder="1" applyAlignment="1" applyProtection="1">
      <alignment horizontal="center" vertical="center"/>
      <protection hidden="1"/>
    </xf>
    <xf numFmtId="0" fontId="88" fillId="3" borderId="431" xfId="0" applyFont="1" applyFill="1" applyBorder="1" applyAlignment="1">
      <alignment horizontal="center" vertical="center"/>
    </xf>
    <xf numFmtId="0" fontId="20" fillId="3" borderId="432" xfId="0" applyFont="1" applyFill="1" applyBorder="1" applyAlignment="1">
      <alignment vertical="center"/>
    </xf>
    <xf numFmtId="0" fontId="20" fillId="3" borderId="433" xfId="0" applyFont="1" applyFill="1" applyBorder="1" applyAlignment="1">
      <alignment vertical="center"/>
    </xf>
    <xf numFmtId="0" fontId="20" fillId="3" borderId="150" xfId="0" applyFont="1" applyFill="1" applyBorder="1" applyAlignment="1">
      <alignment vertical="center"/>
    </xf>
    <xf numFmtId="3" fontId="47" fillId="3" borderId="433" xfId="0" applyNumberFormat="1" applyFont="1" applyFill="1" applyBorder="1" applyAlignment="1">
      <alignment horizontal="center" vertical="center"/>
    </xf>
    <xf numFmtId="3" fontId="47" fillId="3" borderId="0" xfId="0" applyNumberFormat="1" applyFont="1" applyFill="1" applyBorder="1" applyAlignment="1">
      <alignment horizontal="center" vertical="center"/>
    </xf>
    <xf numFmtId="3" fontId="44" fillId="2" borderId="434" xfId="0" applyNumberFormat="1" applyFont="1" applyFill="1" applyBorder="1" applyAlignment="1" applyProtection="1">
      <alignment horizontal="center" vertical="center" wrapText="1"/>
      <protection hidden="1"/>
    </xf>
    <xf numFmtId="3" fontId="44" fillId="2" borderId="435" xfId="0" applyNumberFormat="1" applyFont="1" applyFill="1" applyBorder="1" applyAlignment="1" applyProtection="1">
      <alignment horizontal="center" vertical="center" wrapText="1"/>
      <protection hidden="1"/>
    </xf>
    <xf numFmtId="0" fontId="122" fillId="0" borderId="216" xfId="0" applyNumberFormat="1" applyFont="1" applyFill="1" applyBorder="1" applyAlignment="1" applyProtection="1">
      <alignment horizontal="center" vertical="center" wrapText="1"/>
      <protection hidden="1"/>
    </xf>
    <xf numFmtId="0" fontId="122" fillId="0" borderId="436" xfId="0" applyNumberFormat="1" applyFont="1" applyFill="1" applyBorder="1" applyAlignment="1" applyProtection="1">
      <alignment horizontal="center" vertical="center" wrapText="1"/>
      <protection hidden="1"/>
    </xf>
    <xf numFmtId="0" fontId="122" fillId="0" borderId="67" xfId="0" applyNumberFormat="1" applyFont="1" applyFill="1" applyBorder="1" applyAlignment="1" applyProtection="1">
      <alignment horizontal="center" vertical="center" wrapText="1"/>
      <protection hidden="1"/>
    </xf>
    <xf numFmtId="3" fontId="123" fillId="0" borderId="44" xfId="0" applyNumberFormat="1" applyFont="1" applyFill="1" applyBorder="1" applyAlignment="1" applyProtection="1">
      <alignment horizontal="center" vertical="center"/>
      <protection hidden="1"/>
    </xf>
    <xf numFmtId="0" fontId="122" fillId="0" borderId="435" xfId="0" applyNumberFormat="1" applyFont="1" applyFill="1" applyBorder="1" applyAlignment="1" applyProtection="1">
      <alignment horizontal="center" vertical="center" wrapText="1"/>
      <protection hidden="1"/>
    </xf>
    <xf numFmtId="49" fontId="18" fillId="3" borderId="435" xfId="0" applyNumberFormat="1" applyFont="1" applyFill="1" applyBorder="1" applyAlignment="1">
      <alignment horizontal="center" vertical="center"/>
    </xf>
    <xf numFmtId="3" fontId="123" fillId="0" borderId="209" xfId="0" applyNumberFormat="1" applyFont="1" applyFill="1" applyBorder="1" applyAlignment="1" applyProtection="1">
      <alignment horizontal="center" vertical="center"/>
      <protection hidden="1"/>
    </xf>
    <xf numFmtId="3" fontId="47" fillId="0" borderId="313" xfId="0" applyNumberFormat="1" applyFont="1" applyFill="1" applyBorder="1" applyAlignment="1" applyProtection="1">
      <alignment horizontal="center" vertical="center"/>
      <protection hidden="1"/>
    </xf>
    <xf numFmtId="0" fontId="122" fillId="0" borderId="437" xfId="0" applyNumberFormat="1" applyFont="1" applyFill="1" applyBorder="1" applyAlignment="1" applyProtection="1">
      <alignment horizontal="center" vertical="center" wrapText="1"/>
      <protection hidden="1"/>
    </xf>
    <xf numFmtId="0" fontId="124" fillId="2" borderId="0" xfId="0" applyFont="1" applyFill="1" applyBorder="1" applyAlignment="1"/>
    <xf numFmtId="0" fontId="125" fillId="2" borderId="41" xfId="0" applyFont="1" applyFill="1" applyBorder="1" applyAlignment="1">
      <alignment horizontal="center"/>
    </xf>
    <xf numFmtId="0" fontId="124" fillId="0" borderId="41" xfId="0" applyFont="1" applyFill="1" applyBorder="1" applyAlignment="1">
      <alignment horizontal="left" indent="1"/>
    </xf>
    <xf numFmtId="0" fontId="124" fillId="2" borderId="41" xfId="0" applyFont="1" applyFill="1" applyBorder="1" applyAlignment="1">
      <alignment horizontal="left" indent="1"/>
    </xf>
    <xf numFmtId="0" fontId="126" fillId="2" borderId="0" xfId="0" applyFont="1" applyFill="1" applyBorder="1" applyAlignment="1" applyProtection="1">
      <protection locked="0"/>
    </xf>
    <xf numFmtId="0" fontId="126" fillId="2" borderId="0" xfId="0" applyFont="1" applyFill="1" applyBorder="1" applyAlignment="1" applyProtection="1">
      <alignment horizontal="right" indent="1"/>
      <protection locked="0"/>
    </xf>
    <xf numFmtId="0" fontId="124" fillId="0" borderId="0" xfId="0" applyFont="1" applyFill="1" applyBorder="1" applyAlignment="1">
      <alignment horizontal="left"/>
    </xf>
    <xf numFmtId="0" fontId="124" fillId="2" borderId="0" xfId="0" applyFont="1" applyFill="1" applyBorder="1" applyAlignment="1">
      <alignment horizontal="left"/>
    </xf>
    <xf numFmtId="0" fontId="15" fillId="2" borderId="60" xfId="0" applyFont="1" applyFill="1" applyBorder="1" applyAlignment="1"/>
    <xf numFmtId="0" fontId="15" fillId="2" borderId="44" xfId="0" applyFont="1" applyFill="1" applyBorder="1" applyAlignment="1"/>
    <xf numFmtId="0" fontId="48" fillId="2" borderId="67" xfId="0" applyFont="1" applyFill="1" applyBorder="1" applyAlignment="1">
      <alignment horizontal="center"/>
    </xf>
    <xf numFmtId="165" fontId="48" fillId="4" borderId="438" xfId="0" applyNumberFormat="1" applyFont="1" applyFill="1" applyBorder="1" applyAlignment="1" applyProtection="1">
      <alignment horizontal="center"/>
      <protection locked="0"/>
    </xf>
    <xf numFmtId="3" fontId="46" fillId="2" borderId="206" xfId="0" applyNumberFormat="1" applyFont="1" applyFill="1" applyBorder="1" applyAlignment="1" applyProtection="1">
      <alignment horizontal="center" vertical="center"/>
      <protection hidden="1"/>
    </xf>
    <xf numFmtId="3" fontId="46" fillId="2" borderId="208" xfId="0" applyNumberFormat="1" applyFont="1" applyFill="1" applyBorder="1" applyAlignment="1" applyProtection="1">
      <alignment horizontal="center" vertical="center"/>
      <protection hidden="1"/>
    </xf>
    <xf numFmtId="3" fontId="46" fillId="2" borderId="209" xfId="0" applyNumberFormat="1" applyFont="1" applyFill="1" applyBorder="1" applyAlignment="1" applyProtection="1">
      <alignment horizontal="center" vertical="center"/>
      <protection hidden="1"/>
    </xf>
    <xf numFmtId="3" fontId="44" fillId="2" borderId="439" xfId="0" applyNumberFormat="1" applyFont="1" applyFill="1" applyBorder="1" applyAlignment="1" applyProtection="1">
      <alignment horizontal="center" vertical="center" wrapText="1"/>
      <protection hidden="1"/>
    </xf>
    <xf numFmtId="3" fontId="44" fillId="2" borderId="440" xfId="0" applyNumberFormat="1" applyFont="1" applyFill="1" applyBorder="1" applyAlignment="1" applyProtection="1">
      <alignment horizontal="center" vertical="center" wrapText="1"/>
      <protection hidden="1"/>
    </xf>
    <xf numFmtId="3" fontId="44" fillId="2" borderId="441" xfId="0" applyNumberFormat="1" applyFont="1" applyFill="1" applyBorder="1" applyAlignment="1" applyProtection="1">
      <alignment horizontal="center" vertical="center" wrapText="1"/>
      <protection hidden="1"/>
    </xf>
    <xf numFmtId="3" fontId="44" fillId="2" borderId="442" xfId="0" applyNumberFormat="1" applyFont="1" applyFill="1" applyBorder="1" applyAlignment="1" applyProtection="1">
      <alignment horizontal="center" vertical="center" wrapText="1"/>
      <protection hidden="1"/>
    </xf>
    <xf numFmtId="3" fontId="44" fillId="2" borderId="227" xfId="0" applyNumberFormat="1" applyFont="1" applyFill="1" applyBorder="1" applyAlignment="1" applyProtection="1">
      <alignment horizontal="center" vertical="center" wrapText="1"/>
      <protection hidden="1"/>
    </xf>
    <xf numFmtId="0" fontId="44" fillId="0" borderId="216" xfId="0" applyNumberFormat="1" applyFont="1" applyFill="1" applyBorder="1" applyAlignment="1" applyProtection="1">
      <alignment horizontal="center" vertical="center" wrapText="1"/>
      <protection hidden="1"/>
    </xf>
    <xf numFmtId="0" fontId="44" fillId="0" borderId="314" xfId="0" applyNumberFormat="1" applyFont="1" applyFill="1" applyBorder="1" applyAlignment="1" applyProtection="1">
      <alignment horizontal="center" vertical="center" wrapText="1"/>
      <protection hidden="1"/>
    </xf>
    <xf numFmtId="0" fontId="44" fillId="0" borderId="205" xfId="0" applyNumberFormat="1" applyFont="1" applyFill="1" applyBorder="1" applyAlignment="1" applyProtection="1">
      <alignment horizontal="center" vertical="center" wrapText="1"/>
      <protection hidden="1"/>
    </xf>
    <xf numFmtId="0" fontId="44" fillId="0" borderId="41" xfId="0" applyNumberFormat="1" applyFont="1" applyFill="1" applyBorder="1" applyAlignment="1" applyProtection="1">
      <alignment horizontal="center" vertical="center" wrapText="1"/>
      <protection hidden="1"/>
    </xf>
    <xf numFmtId="0" fontId="44" fillId="0" borderId="435" xfId="0" applyNumberFormat="1" applyFont="1" applyFill="1" applyBorder="1" applyAlignment="1" applyProtection="1">
      <alignment horizontal="center" vertical="center" wrapText="1"/>
      <protection hidden="1"/>
    </xf>
    <xf numFmtId="0" fontId="44" fillId="0" borderId="443" xfId="0" applyNumberFormat="1" applyFont="1" applyFill="1" applyBorder="1" applyAlignment="1" applyProtection="1">
      <alignment horizontal="center" vertical="center" wrapText="1"/>
      <protection hidden="1"/>
    </xf>
    <xf numFmtId="0" fontId="44" fillId="0" borderId="440" xfId="0" applyNumberFormat="1" applyFont="1" applyFill="1" applyBorder="1" applyAlignment="1" applyProtection="1">
      <alignment horizontal="center" vertical="center" wrapText="1"/>
      <protection hidden="1"/>
    </xf>
    <xf numFmtId="0" fontId="44" fillId="0" borderId="434" xfId="0" applyNumberFormat="1" applyFont="1" applyFill="1" applyBorder="1" applyAlignment="1" applyProtection="1">
      <alignment horizontal="center" vertical="center" wrapText="1"/>
      <protection hidden="1"/>
    </xf>
    <xf numFmtId="0" fontId="44" fillId="0" borderId="444" xfId="0" applyNumberFormat="1" applyFont="1" applyFill="1" applyBorder="1" applyAlignment="1" applyProtection="1">
      <alignment horizontal="center" vertical="center" wrapText="1"/>
      <protection hidden="1"/>
    </xf>
    <xf numFmtId="3" fontId="47" fillId="2" borderId="208" xfId="0" applyNumberFormat="1" applyFont="1" applyFill="1" applyBorder="1" applyAlignment="1" applyProtection="1">
      <alignment horizontal="center" vertical="center"/>
      <protection hidden="1"/>
    </xf>
    <xf numFmtId="3" fontId="44" fillId="0" borderId="232" xfId="0" applyNumberFormat="1" applyFont="1" applyFill="1" applyBorder="1" applyAlignment="1" applyProtection="1">
      <alignment horizontal="center" vertical="center" wrapText="1"/>
      <protection hidden="1"/>
    </xf>
    <xf numFmtId="3" fontId="44" fillId="0" borderId="221" xfId="0" applyNumberFormat="1" applyFont="1" applyFill="1" applyBorder="1" applyAlignment="1" applyProtection="1">
      <alignment horizontal="center" vertical="center" wrapText="1"/>
      <protection hidden="1"/>
    </xf>
    <xf numFmtId="3" fontId="44" fillId="2" borderId="232" xfId="0" applyNumberFormat="1" applyFont="1" applyFill="1" applyBorder="1" applyAlignment="1" applyProtection="1">
      <alignment horizontal="center" vertical="center" wrapText="1"/>
      <protection hidden="1"/>
    </xf>
    <xf numFmtId="3" fontId="44" fillId="2" borderId="445" xfId="0" applyNumberFormat="1" applyFont="1" applyFill="1" applyBorder="1" applyAlignment="1" applyProtection="1">
      <alignment horizontal="center" vertical="center" wrapText="1"/>
      <protection hidden="1"/>
    </xf>
    <xf numFmtId="3" fontId="44" fillId="2" borderId="446" xfId="0" applyNumberFormat="1" applyFont="1" applyFill="1" applyBorder="1" applyAlignment="1" applyProtection="1">
      <alignment horizontal="center" vertical="center" wrapText="1"/>
      <protection hidden="1"/>
    </xf>
    <xf numFmtId="3" fontId="44" fillId="0" borderId="447" xfId="0" applyNumberFormat="1" applyFont="1" applyFill="1" applyBorder="1" applyAlignment="1" applyProtection="1">
      <alignment horizontal="center" vertical="center" wrapText="1"/>
      <protection hidden="1"/>
    </xf>
    <xf numFmtId="3" fontId="44" fillId="2" borderId="447" xfId="0" applyNumberFormat="1" applyFont="1" applyFill="1" applyBorder="1" applyAlignment="1" applyProtection="1">
      <alignment horizontal="center" vertical="center" wrapText="1"/>
      <protection hidden="1"/>
    </xf>
    <xf numFmtId="3" fontId="44" fillId="2" borderId="448" xfId="0" applyNumberFormat="1" applyFont="1" applyFill="1" applyBorder="1" applyAlignment="1" applyProtection="1">
      <alignment horizontal="center" vertical="center" wrapText="1"/>
      <protection hidden="1"/>
    </xf>
    <xf numFmtId="0" fontId="2" fillId="4" borderId="0" xfId="0" applyFont="1" applyFill="1" applyBorder="1" applyAlignment="1">
      <alignment vertical="center"/>
    </xf>
    <xf numFmtId="0" fontId="37" fillId="4" borderId="0" xfId="0" applyFont="1" applyFill="1" applyBorder="1" applyAlignment="1">
      <alignment vertical="center"/>
    </xf>
    <xf numFmtId="0" fontId="37" fillId="2" borderId="0" xfId="0" applyFont="1" applyFill="1" applyBorder="1" applyAlignment="1">
      <alignment vertical="center"/>
    </xf>
    <xf numFmtId="0" fontId="1" fillId="3" borderId="408" xfId="0" applyFont="1" applyFill="1" applyBorder="1" applyAlignment="1">
      <alignment vertical="center"/>
    </xf>
    <xf numFmtId="0" fontId="37" fillId="3" borderId="449" xfId="0" applyFont="1" applyFill="1" applyBorder="1" applyAlignment="1">
      <alignment wrapText="1"/>
    </xf>
    <xf numFmtId="3" fontId="44" fillId="2" borderId="218" xfId="0" applyNumberFormat="1" applyFont="1" applyFill="1" applyBorder="1" applyAlignment="1" applyProtection="1">
      <alignment horizontal="center" vertical="center" wrapText="1"/>
      <protection hidden="1"/>
    </xf>
    <xf numFmtId="0" fontId="113" fillId="3" borderId="0" xfId="0" applyFont="1" applyFill="1" applyBorder="1" applyAlignment="1">
      <alignment horizontal="left"/>
    </xf>
    <xf numFmtId="0" fontId="113" fillId="3" borderId="0" xfId="0" applyFont="1" applyFill="1" applyBorder="1" applyAlignment="1">
      <alignment horizontal="left" vertical="center"/>
    </xf>
    <xf numFmtId="0" fontId="27" fillId="3" borderId="0" xfId="0" applyFont="1" applyFill="1" applyBorder="1" applyAlignment="1">
      <alignment horizontal="left"/>
    </xf>
    <xf numFmtId="0" fontId="128" fillId="3" borderId="0" xfId="0" applyFont="1" applyFill="1"/>
    <xf numFmtId="0" fontId="129" fillId="3" borderId="0" xfId="0" applyFont="1" applyFill="1"/>
    <xf numFmtId="0" fontId="128" fillId="3" borderId="111" xfId="0" applyFont="1" applyFill="1" applyBorder="1"/>
    <xf numFmtId="0" fontId="98" fillId="3" borderId="450" xfId="0" applyFont="1" applyFill="1" applyBorder="1" applyAlignment="1">
      <alignment horizontal="left" vertical="center"/>
    </xf>
    <xf numFmtId="0" fontId="98" fillId="3" borderId="450" xfId="0" applyFont="1" applyFill="1" applyBorder="1" applyAlignment="1">
      <alignment horizontal="center" vertical="center"/>
    </xf>
    <xf numFmtId="0" fontId="98" fillId="3" borderId="126" xfId="0" applyFont="1" applyFill="1" applyBorder="1" applyAlignment="1">
      <alignment horizontal="center"/>
    </xf>
    <xf numFmtId="0" fontId="130" fillId="3" borderId="127" xfId="0" applyFont="1" applyFill="1" applyBorder="1" applyAlignment="1">
      <alignment horizontal="center"/>
    </xf>
    <xf numFmtId="0" fontId="23" fillId="2" borderId="60" xfId="0" applyFont="1" applyFill="1" applyBorder="1"/>
    <xf numFmtId="0" fontId="7" fillId="2" borderId="141" xfId="0" applyFont="1" applyFill="1" applyBorder="1" applyAlignment="1">
      <alignment horizontal="left"/>
    </xf>
    <xf numFmtId="0" fontId="0" fillId="2" borderId="451" xfId="0" applyFill="1" applyBorder="1"/>
    <xf numFmtId="0" fontId="27" fillId="2" borderId="60" xfId="0" applyFont="1" applyFill="1" applyBorder="1" applyAlignment="1">
      <alignment horizontal="left"/>
    </xf>
    <xf numFmtId="0" fontId="0" fillId="2" borderId="178" xfId="0" applyFill="1" applyBorder="1"/>
    <xf numFmtId="0" fontId="0" fillId="2" borderId="58" xfId="0" applyFill="1" applyBorder="1"/>
    <xf numFmtId="0" fontId="30" fillId="2" borderId="60" xfId="0" applyFont="1" applyFill="1" applyBorder="1" applyAlignment="1">
      <alignment horizontal="left"/>
    </xf>
    <xf numFmtId="0" fontId="30" fillId="2" borderId="0" xfId="0" applyFont="1" applyFill="1"/>
    <xf numFmtId="0" fontId="103" fillId="2" borderId="0" xfId="1" applyFont="1" applyFill="1" applyAlignment="1" applyProtection="1"/>
    <xf numFmtId="0" fontId="103" fillId="2" borderId="41" xfId="1" applyFont="1" applyFill="1" applyBorder="1" applyAlignment="1" applyProtection="1">
      <alignment horizontal="left"/>
    </xf>
    <xf numFmtId="0" fontId="22" fillId="2" borderId="135" xfId="0" applyFont="1" applyFill="1" applyBorder="1"/>
    <xf numFmtId="0" fontId="0" fillId="2" borderId="138" xfId="0" applyFill="1" applyBorder="1"/>
    <xf numFmtId="0" fontId="0" fillId="2" borderId="452" xfId="0" applyFill="1" applyBorder="1" applyAlignment="1"/>
    <xf numFmtId="0" fontId="0" fillId="2" borderId="201" xfId="0" applyFill="1" applyBorder="1"/>
    <xf numFmtId="0" fontId="31" fillId="0" borderId="455" xfId="1" applyFont="1" applyBorder="1" applyAlignment="1" applyProtection="1"/>
    <xf numFmtId="0" fontId="31" fillId="0" borderId="456" xfId="1" applyFont="1" applyBorder="1" applyAlignment="1" applyProtection="1"/>
    <xf numFmtId="0" fontId="0" fillId="2" borderId="453" xfId="0" applyFill="1" applyBorder="1"/>
    <xf numFmtId="0" fontId="0" fillId="2" borderId="455" xfId="0" applyFill="1" applyBorder="1"/>
    <xf numFmtId="0" fontId="0" fillId="2" borderId="454" xfId="0" applyFill="1" applyBorder="1"/>
    <xf numFmtId="0" fontId="109" fillId="0" borderId="0" xfId="0" applyFont="1"/>
    <xf numFmtId="0" fontId="98" fillId="3" borderId="44" xfId="0" applyFont="1" applyFill="1" applyBorder="1" applyAlignment="1">
      <alignment horizontal="left" vertical="center"/>
    </xf>
    <xf numFmtId="0" fontId="98" fillId="3" borderId="44" xfId="0" applyFont="1" applyFill="1" applyBorder="1" applyAlignment="1">
      <alignment horizontal="center" vertical="center"/>
    </xf>
    <xf numFmtId="0" fontId="98" fillId="3" borderId="60" xfId="0" applyFont="1" applyFill="1" applyBorder="1"/>
    <xf numFmtId="0" fontId="131" fillId="3" borderId="41" xfId="0" applyFont="1" applyFill="1" applyBorder="1"/>
    <xf numFmtId="0" fontId="127" fillId="3" borderId="118" xfId="0" applyFont="1" applyFill="1" applyBorder="1" applyProtection="1">
      <protection locked="0"/>
    </xf>
    <xf numFmtId="3" fontId="46" fillId="0" borderId="457" xfId="0" applyNumberFormat="1" applyFont="1" applyBorder="1" applyAlignment="1" applyProtection="1">
      <alignment horizontal="center" vertical="center"/>
      <protection hidden="1"/>
    </xf>
    <xf numFmtId="3" fontId="46" fillId="0" borderId="458" xfId="0" applyNumberFormat="1" applyFont="1" applyBorder="1" applyAlignment="1" applyProtection="1">
      <alignment horizontal="center" vertical="center"/>
      <protection hidden="1"/>
    </xf>
    <xf numFmtId="0" fontId="1" fillId="2" borderId="2" xfId="0" applyFont="1" applyFill="1" applyBorder="1" applyAlignment="1">
      <alignment vertical="center"/>
    </xf>
    <xf numFmtId="0" fontId="1" fillId="3" borderId="2" xfId="0" applyFont="1" applyFill="1" applyBorder="1" applyAlignment="1">
      <alignment vertical="center"/>
    </xf>
    <xf numFmtId="0" fontId="132" fillId="2" borderId="4" xfId="0" applyFont="1" applyFill="1" applyBorder="1" applyAlignment="1">
      <alignment horizontal="left"/>
    </xf>
    <xf numFmtId="0" fontId="132" fillId="2" borderId="16" xfId="0" applyFont="1" applyFill="1" applyBorder="1" applyAlignment="1">
      <alignment horizontal="center"/>
    </xf>
    <xf numFmtId="0" fontId="132" fillId="2" borderId="45" xfId="0" applyFont="1" applyFill="1" applyBorder="1" applyAlignment="1">
      <alignment horizontal="left"/>
    </xf>
    <xf numFmtId="0" fontId="132" fillId="2" borderId="16" xfId="0" applyFont="1" applyFill="1" applyBorder="1" applyAlignment="1">
      <alignment horizontal="left"/>
    </xf>
    <xf numFmtId="165" fontId="48" fillId="6" borderId="438" xfId="0" applyNumberFormat="1" applyFont="1" applyFill="1" applyBorder="1" applyAlignment="1" applyProtection="1">
      <alignment horizontal="center" vertical="center"/>
      <protection locked="0"/>
    </xf>
    <xf numFmtId="0" fontId="83" fillId="6" borderId="144" xfId="0" applyFont="1" applyFill="1" applyBorder="1" applyAlignment="1">
      <alignment horizontal="left"/>
    </xf>
    <xf numFmtId="0" fontId="83" fillId="6" borderId="141" xfId="0" applyFont="1" applyFill="1" applyBorder="1" applyAlignment="1">
      <alignment horizontal="left"/>
    </xf>
    <xf numFmtId="0" fontId="83" fillId="6" borderId="0" xfId="0" applyFont="1" applyFill="1" applyBorder="1" applyAlignment="1">
      <alignment horizontal="left"/>
    </xf>
    <xf numFmtId="0" fontId="83" fillId="6" borderId="41" xfId="0" applyFont="1" applyFill="1" applyBorder="1" applyAlignment="1">
      <alignment horizontal="left"/>
    </xf>
    <xf numFmtId="0" fontId="38" fillId="6" borderId="0" xfId="0" applyFont="1" applyFill="1" applyBorder="1" applyAlignment="1">
      <alignment horizontal="left" vertical="center"/>
    </xf>
    <xf numFmtId="0" fontId="0" fillId="6" borderId="41" xfId="0" applyFill="1" applyBorder="1" applyAlignment="1">
      <alignment horizontal="left" vertical="center"/>
    </xf>
    <xf numFmtId="0" fontId="20" fillId="6" borderId="60" xfId="0" applyFont="1" applyFill="1" applyBorder="1" applyAlignment="1">
      <alignment horizontal="left" vertical="center"/>
    </xf>
    <xf numFmtId="0" fontId="83" fillId="4" borderId="0" xfId="0" applyFont="1" applyFill="1" applyBorder="1" applyAlignment="1">
      <alignment horizontal="left"/>
    </xf>
    <xf numFmtId="0" fontId="83" fillId="4" borderId="141" xfId="0" applyFont="1" applyFill="1" applyBorder="1" applyAlignment="1">
      <alignment horizontal="left"/>
    </xf>
    <xf numFmtId="0" fontId="83" fillId="4" borderId="60" xfId="0" applyFont="1" applyFill="1" applyBorder="1" applyAlignment="1">
      <alignment horizontal="left"/>
    </xf>
    <xf numFmtId="0" fontId="83" fillId="4" borderId="41" xfId="0" applyFont="1" applyFill="1" applyBorder="1" applyAlignment="1">
      <alignment horizontal="left"/>
    </xf>
    <xf numFmtId="0" fontId="49" fillId="4" borderId="60" xfId="0" applyFont="1" applyFill="1" applyBorder="1" applyAlignment="1">
      <alignment horizontal="left"/>
    </xf>
    <xf numFmtId="0" fontId="49" fillId="4" borderId="41" xfId="0" applyFont="1" applyFill="1" applyBorder="1" applyAlignment="1">
      <alignment horizontal="center"/>
    </xf>
    <xf numFmtId="0" fontId="49" fillId="4" borderId="60" xfId="0" applyFont="1" applyFill="1" applyBorder="1" applyAlignment="1">
      <alignment horizontal="center"/>
    </xf>
    <xf numFmtId="0" fontId="60" fillId="7" borderId="92" xfId="0" applyFont="1" applyFill="1" applyBorder="1" applyAlignment="1">
      <alignment horizontal="left" vertical="center"/>
    </xf>
    <xf numFmtId="0" fontId="89" fillId="7" borderId="92" xfId="0" applyFont="1" applyFill="1" applyBorder="1" applyAlignment="1">
      <alignment horizontal="left"/>
    </xf>
    <xf numFmtId="0" fontId="0" fillId="7" borderId="170" xfId="0" applyFill="1" applyBorder="1"/>
    <xf numFmtId="0" fontId="60" fillId="7" borderId="374" xfId="0" applyFont="1" applyFill="1" applyBorder="1" applyAlignment="1">
      <alignment horizontal="left" vertical="center"/>
    </xf>
    <xf numFmtId="0" fontId="0" fillId="7" borderId="374" xfId="0" applyFill="1" applyBorder="1" applyAlignment="1">
      <alignment horizontal="left"/>
    </xf>
    <xf numFmtId="0" fontId="121" fillId="7" borderId="110" xfId="0" applyFont="1" applyFill="1" applyBorder="1" applyAlignment="1">
      <alignment horizontal="left" vertical="center"/>
    </xf>
    <xf numFmtId="0" fontId="33" fillId="7" borderId="374" xfId="0" applyFont="1" applyFill="1" applyBorder="1" applyAlignment="1">
      <alignment horizontal="left"/>
    </xf>
    <xf numFmtId="0" fontId="134" fillId="2" borderId="0" xfId="0" applyFont="1" applyFill="1" applyBorder="1" applyAlignment="1">
      <alignment horizontal="left"/>
    </xf>
    <xf numFmtId="0" fontId="135" fillId="2" borderId="41" xfId="0" applyFont="1" applyFill="1" applyBorder="1" applyAlignment="1">
      <alignment horizontal="center"/>
    </xf>
    <xf numFmtId="0" fontId="134" fillId="2" borderId="4" xfId="0" applyFont="1" applyFill="1" applyBorder="1" applyAlignment="1">
      <alignment horizontal="left"/>
    </xf>
    <xf numFmtId="0" fontId="134" fillId="2" borderId="16" xfId="0" applyFont="1" applyFill="1" applyBorder="1" applyAlignment="1">
      <alignment horizontal="left"/>
    </xf>
    <xf numFmtId="0" fontId="136" fillId="2" borderId="5" xfId="0" applyFont="1" applyFill="1" applyBorder="1" applyAlignment="1">
      <alignment horizontal="center"/>
    </xf>
    <xf numFmtId="0" fontId="137" fillId="2" borderId="16" xfId="0" applyFont="1" applyFill="1" applyBorder="1" applyAlignment="1">
      <alignment horizontal="center"/>
    </xf>
    <xf numFmtId="0" fontId="135" fillId="2" borderId="5" xfId="0" applyFont="1" applyFill="1" applyBorder="1" applyAlignment="1">
      <alignment horizontal="center"/>
    </xf>
    <xf numFmtId="0" fontId="138" fillId="2" borderId="16" xfId="0" applyFont="1" applyFill="1" applyBorder="1" applyAlignment="1">
      <alignment horizontal="center"/>
    </xf>
    <xf numFmtId="0" fontId="135" fillId="2" borderId="16" xfId="0" applyFont="1" applyFill="1" applyBorder="1" applyAlignment="1">
      <alignment horizontal="center"/>
    </xf>
    <xf numFmtId="0" fontId="134" fillId="2" borderId="5" xfId="0" applyFont="1" applyFill="1" applyBorder="1" applyAlignment="1">
      <alignment horizontal="center"/>
    </xf>
    <xf numFmtId="0" fontId="134" fillId="0" borderId="149" xfId="0" applyFont="1" applyFill="1" applyBorder="1" applyAlignment="1">
      <alignment horizontal="center"/>
    </xf>
    <xf numFmtId="0" fontId="134" fillId="0" borderId="42" xfId="0" applyFont="1" applyFill="1" applyBorder="1" applyAlignment="1">
      <alignment horizontal="center"/>
    </xf>
    <xf numFmtId="0" fontId="134" fillId="0" borderId="48" xfId="0" applyFont="1" applyFill="1" applyBorder="1" applyAlignment="1">
      <alignment horizontal="center"/>
    </xf>
    <xf numFmtId="0" fontId="136" fillId="0" borderId="459" xfId="0" applyFont="1" applyFill="1" applyBorder="1" applyAlignment="1">
      <alignment horizontal="center" vertical="center"/>
    </xf>
    <xf numFmtId="0" fontId="139" fillId="0" borderId="41" xfId="0" applyFont="1" applyFill="1" applyBorder="1" applyAlignment="1">
      <alignment horizontal="left" vertical="center"/>
    </xf>
    <xf numFmtId="0" fontId="140" fillId="0" borderId="0" xfId="0" applyFont="1"/>
    <xf numFmtId="0" fontId="141" fillId="2" borderId="16" xfId="0" applyFont="1" applyFill="1" applyBorder="1" applyAlignment="1">
      <alignment horizontal="left"/>
    </xf>
    <xf numFmtId="0" fontId="141" fillId="2" borderId="42" xfId="0" applyFont="1" applyFill="1" applyBorder="1" applyAlignment="1">
      <alignment horizontal="left"/>
    </xf>
    <xf numFmtId="0" fontId="142" fillId="0" borderId="16" xfId="0" applyFont="1" applyFill="1" applyBorder="1" applyAlignment="1">
      <alignment horizontal="center"/>
    </xf>
    <xf numFmtId="0" fontId="143" fillId="0" borderId="42" xfId="0" applyFont="1" applyFill="1" applyBorder="1" applyAlignment="1">
      <alignment horizontal="center"/>
    </xf>
    <xf numFmtId="0" fontId="144" fillId="2" borderId="5" xfId="0" applyFont="1" applyFill="1" applyBorder="1" applyAlignment="1">
      <alignment horizontal="center"/>
    </xf>
    <xf numFmtId="0" fontId="144" fillId="2" borderId="42" xfId="0" applyFont="1" applyFill="1" applyBorder="1" applyAlignment="1">
      <alignment horizontal="center"/>
    </xf>
    <xf numFmtId="165" fontId="145" fillId="6" borderId="141" xfId="0" applyNumberFormat="1" applyFont="1" applyFill="1" applyBorder="1" applyAlignment="1" applyProtection="1">
      <alignment horizontal="center" vertical="center"/>
      <protection locked="0"/>
    </xf>
    <xf numFmtId="0" fontId="146" fillId="3" borderId="118" xfId="0" applyFont="1" applyFill="1" applyBorder="1" applyAlignment="1">
      <alignment horizontal="left" vertical="center"/>
    </xf>
    <xf numFmtId="0" fontId="122" fillId="2" borderId="216" xfId="0" applyNumberFormat="1" applyFont="1" applyFill="1" applyBorder="1" applyAlignment="1" applyProtection="1">
      <alignment horizontal="center" vertical="center" wrapText="1"/>
      <protection hidden="1"/>
    </xf>
    <xf numFmtId="0" fontId="122" fillId="2" borderId="211" xfId="0" applyNumberFormat="1" applyFont="1" applyFill="1" applyBorder="1" applyAlignment="1" applyProtection="1">
      <alignment horizontal="center" vertical="center" wrapText="1"/>
      <protection hidden="1"/>
    </xf>
    <xf numFmtId="0" fontId="122" fillId="2" borderId="205" xfId="0" applyNumberFormat="1" applyFont="1" applyFill="1" applyBorder="1" applyAlignment="1" applyProtection="1">
      <alignment horizontal="center" vertical="center" wrapText="1"/>
      <protection hidden="1"/>
    </xf>
    <xf numFmtId="3" fontId="44" fillId="2" borderId="215" xfId="0" applyNumberFormat="1" applyFont="1" applyFill="1" applyBorder="1" applyAlignment="1" applyProtection="1">
      <alignment horizontal="center" vertical="center"/>
      <protection hidden="1"/>
    </xf>
    <xf numFmtId="3" fontId="44" fillId="2" borderId="460" xfId="0" applyNumberFormat="1" applyFont="1" applyFill="1" applyBorder="1" applyAlignment="1" applyProtection="1">
      <alignment horizontal="center" vertical="center"/>
      <protection hidden="1"/>
    </xf>
    <xf numFmtId="3" fontId="44" fillId="2" borderId="211" xfId="0" applyNumberFormat="1" applyFont="1" applyFill="1" applyBorder="1" applyAlignment="1" applyProtection="1">
      <alignment horizontal="center" vertical="center"/>
      <protection hidden="1"/>
    </xf>
    <xf numFmtId="3" fontId="44" fillId="2" borderId="225" xfId="0" applyNumberFormat="1" applyFont="1" applyFill="1" applyBorder="1" applyAlignment="1" applyProtection="1">
      <alignment horizontal="center" vertical="center"/>
      <protection hidden="1"/>
    </xf>
    <xf numFmtId="3" fontId="44" fillId="2" borderId="221" xfId="0" applyNumberFormat="1" applyFont="1" applyFill="1" applyBorder="1" applyAlignment="1" applyProtection="1">
      <alignment horizontal="center" vertical="center"/>
      <protection hidden="1"/>
    </xf>
    <xf numFmtId="3" fontId="44" fillId="2" borderId="214" xfId="0" applyNumberFormat="1" applyFont="1" applyFill="1" applyBorder="1" applyAlignment="1" applyProtection="1">
      <alignment horizontal="center" vertical="center" wrapText="1"/>
      <protection hidden="1"/>
    </xf>
    <xf numFmtId="3" fontId="44" fillId="2" borderId="15" xfId="0" applyNumberFormat="1" applyFont="1" applyFill="1" applyBorder="1" applyAlignment="1" applyProtection="1">
      <alignment horizontal="center" vertical="center" wrapText="1"/>
      <protection hidden="1"/>
    </xf>
    <xf numFmtId="3" fontId="44" fillId="2" borderId="461" xfId="0" applyNumberFormat="1" applyFont="1" applyFill="1" applyBorder="1" applyAlignment="1" applyProtection="1">
      <alignment horizontal="center" vertical="center" wrapText="1"/>
      <protection hidden="1"/>
    </xf>
    <xf numFmtId="0" fontId="147" fillId="2" borderId="0" xfId="0" applyFont="1" applyFill="1" applyBorder="1" applyAlignment="1" applyProtection="1">
      <protection locked="0"/>
    </xf>
    <xf numFmtId="0" fontId="147" fillId="2" borderId="0" xfId="0" applyFont="1" applyFill="1" applyBorder="1" applyAlignment="1" applyProtection="1">
      <alignment horizontal="center"/>
      <protection locked="0"/>
    </xf>
    <xf numFmtId="165" fontId="148" fillId="2" borderId="141" xfId="0" applyNumberFormat="1" applyFont="1" applyFill="1" applyBorder="1" applyAlignment="1" applyProtection="1">
      <alignment horizontal="center"/>
      <protection hidden="1"/>
    </xf>
    <xf numFmtId="0" fontId="148" fillId="2" borderId="41" xfId="0" applyFont="1" applyFill="1" applyBorder="1" applyAlignment="1" applyProtection="1">
      <alignment horizontal="center"/>
      <protection hidden="1"/>
    </xf>
    <xf numFmtId="0" fontId="148" fillId="0" borderId="16" xfId="0" applyFont="1" applyFill="1" applyBorder="1" applyAlignment="1">
      <alignment horizontal="center"/>
    </xf>
    <xf numFmtId="0" fontId="74" fillId="2" borderId="41" xfId="0" applyFont="1" applyFill="1" applyBorder="1" applyAlignment="1">
      <alignment horizontal="center"/>
    </xf>
    <xf numFmtId="0" fontId="74" fillId="0" borderId="42" xfId="0" applyFont="1" applyFill="1" applyBorder="1" applyAlignment="1">
      <alignment horizontal="left"/>
    </xf>
    <xf numFmtId="0" fontId="149" fillId="0" borderId="177" xfId="0" applyFont="1" applyFill="1" applyBorder="1" applyAlignment="1">
      <alignment horizontal="left"/>
    </xf>
    <xf numFmtId="0" fontId="148" fillId="2" borderId="141" xfId="0" applyFont="1" applyFill="1" applyBorder="1" applyAlignment="1" applyProtection="1">
      <alignment horizontal="center"/>
      <protection hidden="1"/>
    </xf>
    <xf numFmtId="0" fontId="48" fillId="2" borderId="6" xfId="0" applyFont="1" applyFill="1" applyBorder="1" applyAlignment="1" applyProtection="1">
      <alignment horizontal="left"/>
      <protection locked="0"/>
    </xf>
    <xf numFmtId="0" fontId="148" fillId="2" borderId="177" xfId="0" applyFont="1" applyFill="1" applyBorder="1" applyAlignment="1" applyProtection="1">
      <alignment horizontal="center"/>
      <protection locked="0"/>
    </xf>
    <xf numFmtId="0" fontId="48" fillId="0" borderId="5" xfId="0" applyFont="1" applyFill="1" applyBorder="1" applyAlignment="1" applyProtection="1">
      <alignment horizontal="left"/>
      <protection locked="0"/>
    </xf>
    <xf numFmtId="0" fontId="148" fillId="0" borderId="42" xfId="0" applyFont="1" applyFill="1" applyBorder="1" applyAlignment="1" applyProtection="1">
      <alignment horizontal="center"/>
      <protection locked="0"/>
    </xf>
    <xf numFmtId="0" fontId="150" fillId="0" borderId="0" xfId="0" applyFont="1"/>
    <xf numFmtId="3" fontId="46" fillId="0" borderId="462" xfId="0" applyNumberFormat="1" applyFont="1" applyBorder="1" applyAlignment="1" applyProtection="1">
      <alignment horizontal="center" vertical="center"/>
      <protection hidden="1"/>
    </xf>
    <xf numFmtId="0" fontId="151" fillId="2" borderId="51" xfId="0" applyFont="1" applyFill="1" applyBorder="1" applyAlignment="1">
      <alignment horizontal="right"/>
    </xf>
    <xf numFmtId="0" fontId="151" fillId="2" borderId="463" xfId="0" applyFont="1" applyFill="1" applyBorder="1" applyAlignment="1">
      <alignment horizontal="right"/>
    </xf>
    <xf numFmtId="0" fontId="151" fillId="2" borderId="459" xfId="0" applyFont="1" applyFill="1" applyBorder="1" applyAlignment="1">
      <alignment horizontal="center" vertical="center"/>
    </xf>
    <xf numFmtId="0" fontId="152" fillId="2" borderId="48" xfId="0" applyFont="1" applyFill="1" applyBorder="1" applyAlignment="1">
      <alignment horizontal="center"/>
    </xf>
    <xf numFmtId="0" fontId="152" fillId="2" borderId="463" xfId="0" applyFont="1" applyFill="1" applyBorder="1" applyAlignment="1">
      <alignment horizontal="center"/>
    </xf>
    <xf numFmtId="0" fontId="2" fillId="2" borderId="416" xfId="0" applyFont="1" applyFill="1" applyBorder="1" applyAlignment="1">
      <alignment vertical="center"/>
    </xf>
    <xf numFmtId="0" fontId="1" fillId="3" borderId="236" xfId="0" applyFont="1" applyFill="1" applyBorder="1" applyAlignment="1">
      <alignment vertical="center"/>
    </xf>
    <xf numFmtId="0" fontId="2" fillId="3" borderId="338" xfId="0" applyFont="1" applyFill="1" applyBorder="1" applyAlignment="1">
      <alignment vertical="center"/>
    </xf>
    <xf numFmtId="0" fontId="148" fillId="2" borderId="0" xfId="0" applyFont="1" applyFill="1" applyBorder="1" applyAlignment="1" applyProtection="1">
      <protection locked="0"/>
    </xf>
    <xf numFmtId="0" fontId="148" fillId="2" borderId="0" xfId="0" applyFont="1" applyFill="1" applyBorder="1" applyAlignment="1" applyProtection="1">
      <alignment horizontal="center"/>
      <protection locked="0"/>
    </xf>
    <xf numFmtId="0" fontId="148" fillId="2" borderId="0" xfId="0" applyFont="1" applyFill="1" applyBorder="1" applyAlignment="1" applyProtection="1">
      <alignment horizontal="left" indent="1"/>
      <protection locked="0"/>
    </xf>
    <xf numFmtId="0" fontId="58" fillId="2" borderId="45" xfId="0" applyFont="1" applyFill="1" applyBorder="1" applyAlignment="1">
      <alignment horizontal="center"/>
    </xf>
    <xf numFmtId="0" fontId="148" fillId="2" borderId="60" xfId="0" applyFont="1" applyFill="1" applyBorder="1" applyAlignment="1" applyProtection="1">
      <protection locked="0"/>
    </xf>
    <xf numFmtId="0" fontId="58" fillId="2" borderId="51" xfId="0" applyFont="1" applyFill="1" applyBorder="1" applyAlignment="1">
      <alignment horizontal="center"/>
    </xf>
    <xf numFmtId="0" fontId="156" fillId="2" borderId="45" xfId="0" applyFont="1" applyFill="1" applyBorder="1" applyAlignment="1">
      <alignment horizontal="center"/>
    </xf>
    <xf numFmtId="0" fontId="156" fillId="2" borderId="48" xfId="0" applyFont="1" applyFill="1" applyBorder="1" applyAlignment="1">
      <alignment horizontal="center"/>
    </xf>
    <xf numFmtId="0" fontId="156" fillId="2" borderId="149" xfId="0" applyFont="1" applyFill="1" applyBorder="1" applyAlignment="1">
      <alignment horizontal="center"/>
    </xf>
    <xf numFmtId="0" fontId="156" fillId="2" borderId="464" xfId="0" applyFont="1" applyFill="1" applyBorder="1" applyAlignment="1">
      <alignment horizontal="center"/>
    </xf>
    <xf numFmtId="0" fontId="157" fillId="2" borderId="459" xfId="0" applyFont="1" applyFill="1" applyBorder="1" applyAlignment="1">
      <alignment horizontal="left" vertical="center"/>
    </xf>
    <xf numFmtId="0" fontId="158" fillId="0" borderId="0" xfId="0" applyFont="1" applyFill="1" applyProtection="1">
      <protection hidden="1"/>
    </xf>
    <xf numFmtId="0" fontId="158" fillId="0" borderId="0" xfId="0" applyFont="1"/>
    <xf numFmtId="3" fontId="46" fillId="3" borderId="326" xfId="0" applyNumberFormat="1" applyFont="1" applyFill="1" applyBorder="1" applyAlignment="1" applyProtection="1">
      <alignment horizontal="left" vertical="center"/>
      <protection hidden="1"/>
    </xf>
    <xf numFmtId="3" fontId="159" fillId="3" borderId="187" xfId="0" applyNumberFormat="1" applyFont="1" applyFill="1" applyBorder="1" applyAlignment="1" applyProtection="1">
      <alignment horizontal="center" vertical="center"/>
      <protection hidden="1"/>
    </xf>
    <xf numFmtId="3" fontId="159" fillId="3" borderId="0" xfId="0" applyNumberFormat="1" applyFont="1" applyFill="1" applyBorder="1" applyAlignment="1" applyProtection="1">
      <alignment horizontal="center" vertical="center"/>
      <protection hidden="1"/>
    </xf>
    <xf numFmtId="3" fontId="160" fillId="2" borderId="191" xfId="0" applyNumberFormat="1" applyFont="1" applyFill="1" applyBorder="1" applyAlignment="1" applyProtection="1">
      <alignment horizontal="center" vertical="center"/>
      <protection hidden="1"/>
    </xf>
    <xf numFmtId="3" fontId="160" fillId="2" borderId="192" xfId="0" applyNumberFormat="1" applyFont="1" applyFill="1" applyBorder="1" applyAlignment="1" applyProtection="1">
      <alignment horizontal="center" vertical="center"/>
      <protection hidden="1"/>
    </xf>
    <xf numFmtId="3" fontId="160" fillId="0" borderId="191" xfId="0" applyNumberFormat="1" applyFont="1" applyBorder="1" applyAlignment="1" applyProtection="1">
      <alignment horizontal="center" vertical="center"/>
      <protection hidden="1"/>
    </xf>
    <xf numFmtId="3" fontId="160" fillId="0" borderId="0" xfId="0" applyNumberFormat="1" applyFont="1" applyBorder="1" applyAlignment="1" applyProtection="1">
      <alignment horizontal="center" vertical="center"/>
      <protection hidden="1"/>
    </xf>
    <xf numFmtId="0" fontId="161" fillId="3" borderId="0" xfId="0" applyFont="1" applyFill="1" applyBorder="1" applyAlignment="1">
      <alignment vertical="center"/>
    </xf>
    <xf numFmtId="0" fontId="162" fillId="2" borderId="159" xfId="0" applyFont="1" applyFill="1" applyBorder="1" applyAlignment="1">
      <alignment vertical="center"/>
    </xf>
    <xf numFmtId="3" fontId="163" fillId="0" borderId="190" xfId="0" applyNumberFormat="1" applyFont="1" applyBorder="1" applyAlignment="1" applyProtection="1">
      <alignment horizontal="center" vertical="center"/>
      <protection hidden="1"/>
    </xf>
    <xf numFmtId="3" fontId="163" fillId="0" borderId="197" xfId="0" applyNumberFormat="1" applyFont="1" applyBorder="1" applyAlignment="1" applyProtection="1">
      <alignment horizontal="center" vertical="center"/>
      <protection hidden="1"/>
    </xf>
    <xf numFmtId="3" fontId="163" fillId="0" borderId="191" xfId="0" applyNumberFormat="1" applyFont="1" applyFill="1" applyBorder="1" applyAlignment="1" applyProtection="1">
      <alignment horizontal="center" vertical="center"/>
      <protection hidden="1"/>
    </xf>
    <xf numFmtId="3" fontId="163" fillId="3" borderId="188" xfId="0" applyNumberFormat="1" applyFont="1" applyFill="1" applyBorder="1" applyAlignment="1" applyProtection="1">
      <alignment horizontal="center" vertical="center"/>
      <protection hidden="1"/>
    </xf>
    <xf numFmtId="3" fontId="163" fillId="0" borderId="190" xfId="0" applyNumberFormat="1" applyFont="1" applyFill="1" applyBorder="1" applyAlignment="1" applyProtection="1">
      <alignment horizontal="center" vertical="center"/>
      <protection hidden="1"/>
    </xf>
    <xf numFmtId="0" fontId="161" fillId="3" borderId="277" xfId="0" applyFont="1" applyFill="1" applyBorder="1" applyAlignment="1">
      <alignment vertical="center"/>
    </xf>
    <xf numFmtId="0" fontId="162" fillId="0" borderId="2" xfId="0" applyFont="1" applyBorder="1" applyAlignment="1">
      <alignment vertical="center"/>
    </xf>
    <xf numFmtId="0" fontId="164" fillId="2" borderId="0" xfId="0" applyFont="1" applyFill="1" applyBorder="1" applyAlignment="1">
      <alignment horizontal="left" vertical="center"/>
    </xf>
    <xf numFmtId="0" fontId="164" fillId="2" borderId="235" xfId="0" applyFont="1" applyFill="1" applyBorder="1" applyAlignment="1">
      <alignment horizontal="left" vertical="center"/>
    </xf>
    <xf numFmtId="0" fontId="165" fillId="2" borderId="0" xfId="0" applyFont="1" applyFill="1" applyBorder="1" applyAlignment="1">
      <alignment horizontal="left" vertical="center"/>
    </xf>
    <xf numFmtId="0" fontId="166" fillId="2" borderId="0" xfId="0" applyFont="1" applyFill="1" applyAlignment="1">
      <alignment horizontal="left" vertical="center"/>
    </xf>
    <xf numFmtId="0" fontId="166" fillId="2" borderId="235" xfId="0" applyFont="1" applyFill="1" applyBorder="1" applyAlignment="1">
      <alignment horizontal="left" vertical="center"/>
    </xf>
    <xf numFmtId="0" fontId="164" fillId="2" borderId="189" xfId="0" applyFont="1" applyFill="1" applyBorder="1" applyAlignment="1">
      <alignment horizontal="left" vertical="center"/>
    </xf>
    <xf numFmtId="0" fontId="166" fillId="2" borderId="189" xfId="0" applyFont="1" applyFill="1" applyBorder="1" applyAlignment="1">
      <alignment horizontal="left" vertical="center"/>
    </xf>
    <xf numFmtId="0" fontId="166" fillId="2" borderId="248" xfId="0" applyFont="1" applyFill="1" applyBorder="1" applyAlignment="1">
      <alignment horizontal="left" vertical="center"/>
    </xf>
    <xf numFmtId="0" fontId="167" fillId="0" borderId="0" xfId="0" applyFont="1" applyFill="1" applyProtection="1">
      <protection hidden="1"/>
    </xf>
    <xf numFmtId="0" fontId="158" fillId="0" borderId="0" xfId="0" applyFont="1" applyFill="1"/>
    <xf numFmtId="0" fontId="168" fillId="2" borderId="159" xfId="0" applyFont="1" applyFill="1" applyBorder="1" applyAlignment="1">
      <alignment vertical="center"/>
    </xf>
    <xf numFmtId="0" fontId="169" fillId="0" borderId="341" xfId="0" applyFont="1" applyFill="1" applyBorder="1" applyAlignment="1">
      <alignment wrapText="1"/>
    </xf>
    <xf numFmtId="164" fontId="170" fillId="2" borderId="327" xfId="0" applyNumberFormat="1" applyFont="1" applyFill="1" applyBorder="1" applyAlignment="1" applyProtection="1">
      <alignment horizontal="center" vertical="center"/>
      <protection hidden="1"/>
    </xf>
    <xf numFmtId="3" fontId="170" fillId="2" borderId="327" xfId="0" applyNumberFormat="1" applyFont="1" applyFill="1" applyBorder="1" applyAlignment="1" applyProtection="1">
      <alignment horizontal="center" vertical="center"/>
      <protection hidden="1"/>
    </xf>
    <xf numFmtId="0" fontId="168" fillId="2" borderId="0" xfId="0" applyFont="1" applyFill="1" applyBorder="1" applyAlignment="1">
      <alignment vertical="center"/>
    </xf>
    <xf numFmtId="0" fontId="169" fillId="0" borderId="342" xfId="0" applyFont="1" applyFill="1" applyBorder="1" applyAlignment="1">
      <alignment wrapText="1"/>
    </xf>
    <xf numFmtId="3" fontId="170" fillId="2" borderId="326" xfId="0" applyNumberFormat="1" applyFont="1" applyFill="1" applyBorder="1" applyAlignment="1" applyProtection="1">
      <alignment horizontal="center" vertical="center"/>
      <protection hidden="1"/>
    </xf>
    <xf numFmtId="3" fontId="170" fillId="2" borderId="341" xfId="0" applyNumberFormat="1" applyFont="1" applyFill="1" applyBorder="1" applyAlignment="1" applyProtection="1">
      <alignment horizontal="center" vertical="center"/>
      <protection hidden="1"/>
    </xf>
    <xf numFmtId="0" fontId="169" fillId="0" borderId="465" xfId="0" applyFont="1" applyFill="1" applyBorder="1" applyAlignment="1">
      <alignment wrapText="1"/>
    </xf>
    <xf numFmtId="3" fontId="170" fillId="2" borderId="342" xfId="0" applyNumberFormat="1" applyFont="1" applyFill="1" applyBorder="1" applyAlignment="1" applyProtection="1">
      <alignment horizontal="center" vertical="center"/>
      <protection hidden="1"/>
    </xf>
    <xf numFmtId="3" fontId="46" fillId="2" borderId="326" xfId="0" applyNumberFormat="1" applyFont="1" applyFill="1" applyBorder="1" applyAlignment="1" applyProtection="1">
      <alignment horizontal="left" vertical="center"/>
      <protection hidden="1"/>
    </xf>
    <xf numFmtId="3" fontId="46" fillId="0" borderId="326" xfId="0" applyNumberFormat="1" applyFont="1" applyBorder="1" applyAlignment="1" applyProtection="1">
      <alignment horizontal="left" vertical="center"/>
      <protection hidden="1"/>
    </xf>
    <xf numFmtId="3" fontId="46" fillId="3" borderId="466" xfId="0" applyNumberFormat="1" applyFont="1" applyFill="1" applyBorder="1" applyAlignment="1" applyProtection="1">
      <alignment horizontal="left" vertical="center"/>
      <protection hidden="1"/>
    </xf>
    <xf numFmtId="3" fontId="46" fillId="3" borderId="280" xfId="0" applyNumberFormat="1" applyFont="1" applyFill="1" applyBorder="1" applyAlignment="1" applyProtection="1">
      <alignment horizontal="left" vertical="center"/>
      <protection hidden="1"/>
    </xf>
    <xf numFmtId="0" fontId="1" fillId="2" borderId="408" xfId="0" applyFont="1" applyFill="1" applyBorder="1" applyAlignment="1">
      <alignment horizontal="left" vertical="center"/>
    </xf>
    <xf numFmtId="0" fontId="88" fillId="2" borderId="513" xfId="0" applyFont="1" applyFill="1" applyBorder="1" applyAlignment="1">
      <alignment horizontal="center" vertical="center"/>
    </xf>
    <xf numFmtId="3" fontId="155" fillId="3" borderId="291" xfId="0" applyNumberFormat="1" applyFont="1" applyFill="1" applyBorder="1" applyAlignment="1" applyProtection="1">
      <alignment horizontal="center" vertical="center" wrapText="1"/>
      <protection hidden="1"/>
    </xf>
    <xf numFmtId="3" fontId="155" fillId="2" borderId="296" xfId="0" applyNumberFormat="1" applyFont="1" applyFill="1" applyBorder="1" applyAlignment="1" applyProtection="1">
      <alignment horizontal="center" vertical="center" wrapText="1"/>
      <protection hidden="1"/>
    </xf>
    <xf numFmtId="3" fontId="155" fillId="0" borderId="291" xfId="0" applyNumberFormat="1" applyFont="1" applyBorder="1" applyAlignment="1" applyProtection="1">
      <alignment horizontal="center" vertical="center" wrapText="1"/>
      <protection hidden="1"/>
    </xf>
    <xf numFmtId="165" fontId="171" fillId="2" borderId="41" xfId="0" applyNumberFormat="1" applyFont="1" applyFill="1" applyBorder="1" applyAlignment="1" applyProtection="1">
      <alignment horizontal="right"/>
      <protection locked="0"/>
    </xf>
    <xf numFmtId="165" fontId="171" fillId="2" borderId="41" xfId="0" applyNumberFormat="1" applyFont="1" applyFill="1" applyBorder="1" applyAlignment="1" applyProtection="1">
      <alignment horizontal="right"/>
      <protection hidden="1"/>
    </xf>
    <xf numFmtId="0" fontId="172" fillId="2" borderId="41" xfId="0" applyFont="1" applyFill="1" applyBorder="1" applyAlignment="1">
      <alignment horizontal="right"/>
    </xf>
    <xf numFmtId="0" fontId="173" fillId="2" borderId="41" xfId="0" applyFont="1" applyFill="1" applyBorder="1" applyAlignment="1">
      <alignment horizontal="center"/>
    </xf>
    <xf numFmtId="0" fontId="174" fillId="2" borderId="41" xfId="0" applyFont="1" applyFill="1" applyBorder="1" applyAlignment="1">
      <alignment horizontal="left"/>
    </xf>
    <xf numFmtId="0" fontId="175" fillId="2" borderId="41" xfId="0" applyFont="1" applyFill="1" applyBorder="1" applyAlignment="1">
      <alignment horizontal="left"/>
    </xf>
    <xf numFmtId="165" fontId="176" fillId="2" borderId="177" xfId="0" applyNumberFormat="1" applyFont="1" applyFill="1" applyBorder="1" applyAlignment="1">
      <alignment horizontal="center" vertical="center"/>
    </xf>
    <xf numFmtId="165" fontId="176" fillId="2" borderId="467" xfId="0" applyNumberFormat="1" applyFont="1" applyFill="1" applyBorder="1" applyAlignment="1">
      <alignment horizontal="right" vertical="center"/>
    </xf>
    <xf numFmtId="0" fontId="173" fillId="2" borderId="41" xfId="0" applyFont="1" applyFill="1" applyBorder="1" applyAlignment="1">
      <alignment horizontal="left"/>
    </xf>
    <xf numFmtId="165" fontId="172" fillId="2" borderId="177" xfId="0" applyNumberFormat="1" applyFont="1" applyFill="1" applyBorder="1" applyAlignment="1">
      <alignment horizontal="center" vertical="center"/>
    </xf>
    <xf numFmtId="165" fontId="172" fillId="2" borderId="467" xfId="0" applyNumberFormat="1" applyFont="1" applyFill="1" applyBorder="1" applyAlignment="1">
      <alignment horizontal="right" vertical="center"/>
    </xf>
    <xf numFmtId="0" fontId="166" fillId="0" borderId="0" xfId="0" applyFont="1" applyFill="1" applyProtection="1">
      <protection hidden="1"/>
    </xf>
    <xf numFmtId="0" fontId="177" fillId="0" borderId="0" xfId="0" applyFont="1" applyFill="1" applyProtection="1">
      <protection hidden="1"/>
    </xf>
    <xf numFmtId="0" fontId="177" fillId="0" borderId="0" xfId="0" applyFont="1" applyFill="1" applyAlignment="1" applyProtection="1">
      <alignment wrapText="1"/>
      <protection hidden="1"/>
    </xf>
    <xf numFmtId="0" fontId="177" fillId="0" borderId="0" xfId="0" applyFont="1" applyFill="1" applyAlignment="1" applyProtection="1">
      <protection hidden="1"/>
    </xf>
    <xf numFmtId="0" fontId="165" fillId="0" borderId="0" xfId="0" applyFont="1" applyFill="1" applyAlignment="1" applyProtection="1">
      <alignment horizontal="left"/>
      <protection hidden="1"/>
    </xf>
    <xf numFmtId="0" fontId="165" fillId="0" borderId="0" xfId="0" applyFont="1" applyFill="1" applyProtection="1">
      <protection hidden="1"/>
    </xf>
    <xf numFmtId="0" fontId="165" fillId="0" borderId="0" xfId="0" applyNumberFormat="1" applyFont="1" applyFill="1" applyAlignment="1" applyProtection="1">
      <alignment horizontal="left"/>
      <protection hidden="1"/>
    </xf>
    <xf numFmtId="0" fontId="166" fillId="0" borderId="0" xfId="0" applyNumberFormat="1" applyFont="1" applyFill="1" applyAlignment="1" applyProtection="1">
      <alignment horizontal="left"/>
      <protection hidden="1"/>
    </xf>
    <xf numFmtId="0" fontId="177" fillId="0" borderId="0" xfId="0" applyFont="1" applyFill="1" applyAlignment="1" applyProtection="1">
      <alignment horizontal="left"/>
      <protection hidden="1"/>
    </xf>
    <xf numFmtId="164" fontId="166" fillId="0" borderId="0" xfId="0" applyNumberFormat="1" applyFont="1" applyFill="1" applyProtection="1">
      <protection hidden="1"/>
    </xf>
    <xf numFmtId="0" fontId="165" fillId="0" borderId="0" xfId="0" applyFont="1" applyFill="1" applyBorder="1" applyProtection="1">
      <protection hidden="1"/>
    </xf>
    <xf numFmtId="0" fontId="165" fillId="0" borderId="0" xfId="0" applyFont="1" applyFill="1" applyAlignment="1" applyProtection="1">
      <alignment wrapText="1"/>
      <protection hidden="1"/>
    </xf>
    <xf numFmtId="0" fontId="166" fillId="0" borderId="0" xfId="0" applyFont="1" applyFill="1" applyAlignment="1" applyProtection="1">
      <alignment wrapText="1"/>
      <protection hidden="1"/>
    </xf>
    <xf numFmtId="0" fontId="166" fillId="0" borderId="0" xfId="0" applyFont="1" applyFill="1" applyAlignment="1" applyProtection="1">
      <alignment horizontal="left"/>
      <protection hidden="1"/>
    </xf>
    <xf numFmtId="0" fontId="177" fillId="0" borderId="0" xfId="0" applyFont="1" applyFill="1" applyAlignment="1">
      <alignment horizontal="left"/>
    </xf>
    <xf numFmtId="0" fontId="177" fillId="0" borderId="0" xfId="0" applyFont="1" applyFill="1" applyAlignment="1">
      <alignment horizontal="left" wrapText="1"/>
    </xf>
    <xf numFmtId="0" fontId="166" fillId="0" borderId="0" xfId="0" applyFont="1" applyFill="1"/>
    <xf numFmtId="0" fontId="166" fillId="0" borderId="0" xfId="0" applyFont="1" applyFill="1" applyAlignment="1">
      <alignment horizontal="center"/>
    </xf>
    <xf numFmtId="0" fontId="166" fillId="0" borderId="0" xfId="0" applyFont="1"/>
    <xf numFmtId="0" fontId="177" fillId="0" borderId="0" xfId="0" applyFont="1" applyFill="1"/>
    <xf numFmtId="0" fontId="177" fillId="0" borderId="0" xfId="0" applyFont="1" applyFill="1" applyAlignment="1">
      <alignment wrapText="1"/>
    </xf>
    <xf numFmtId="0" fontId="177" fillId="0" borderId="0" xfId="0" applyFont="1" applyAlignment="1">
      <alignment horizontal="left"/>
    </xf>
    <xf numFmtId="0" fontId="165" fillId="0" borderId="0" xfId="0" applyFont="1" applyFill="1" applyAlignment="1" applyProtection="1">
      <alignment horizontal="right"/>
      <protection hidden="1"/>
    </xf>
    <xf numFmtId="0" fontId="165" fillId="0" borderId="0" xfId="0" applyFont="1" applyFill="1" applyAlignment="1">
      <alignment horizontal="center"/>
    </xf>
    <xf numFmtId="0" fontId="165" fillId="0" borderId="0" xfId="0" applyFont="1" applyFill="1" applyAlignment="1" applyProtection="1">
      <alignment horizontal="center"/>
      <protection hidden="1"/>
    </xf>
    <xf numFmtId="0" fontId="166" fillId="0" borderId="0" xfId="0" applyFont="1" applyFill="1" applyAlignment="1">
      <alignment horizontal="right"/>
    </xf>
    <xf numFmtId="0" fontId="166" fillId="0" borderId="0" xfId="0" applyFont="1" applyAlignment="1">
      <alignment horizontal="center"/>
    </xf>
    <xf numFmtId="0" fontId="177" fillId="0" borderId="0" xfId="0" applyFont="1"/>
    <xf numFmtId="0" fontId="165" fillId="0" borderId="0" xfId="0" applyFont="1" applyAlignment="1">
      <alignment horizontal="center"/>
    </xf>
    <xf numFmtId="0" fontId="165" fillId="0" borderId="0" xfId="0" applyFont="1"/>
    <xf numFmtId="0" fontId="177" fillId="0" borderId="0" xfId="0" applyFont="1" applyFill="1" applyAlignment="1">
      <alignment horizontal="center"/>
    </xf>
    <xf numFmtId="0" fontId="177" fillId="0" borderId="0" xfId="0" applyFont="1" applyAlignment="1">
      <alignment horizontal="center"/>
    </xf>
    <xf numFmtId="0" fontId="177" fillId="0" borderId="0" xfId="0" applyFont="1" applyFill="1" applyAlignment="1" applyProtection="1">
      <alignment horizontal="center" wrapText="1"/>
      <protection hidden="1"/>
    </xf>
    <xf numFmtId="0" fontId="177" fillId="0" borderId="0" xfId="0" applyFont="1" applyFill="1" applyAlignment="1" applyProtection="1">
      <alignment horizontal="center"/>
      <protection hidden="1"/>
    </xf>
    <xf numFmtId="0" fontId="8" fillId="3" borderId="381" xfId="0" applyFont="1" applyFill="1" applyBorder="1" applyAlignment="1">
      <alignment horizontal="left" vertical="center" wrapText="1" indent="1"/>
    </xf>
    <xf numFmtId="0" fontId="0" fillId="3" borderId="361" xfId="0" applyFill="1" applyBorder="1" applyAlignment="1">
      <alignment horizontal="left" vertical="center" wrapText="1" indent="1"/>
    </xf>
    <xf numFmtId="0" fontId="49" fillId="2" borderId="374" xfId="0" applyFont="1" applyFill="1" applyBorder="1" applyAlignment="1">
      <alignment horizontal="left" vertical="center" wrapText="1"/>
    </xf>
    <xf numFmtId="0" fontId="0" fillId="2" borderId="374" xfId="0" applyFont="1" applyFill="1" applyBorder="1" applyAlignment="1">
      <alignment horizontal="left" vertical="center" wrapText="1"/>
    </xf>
    <xf numFmtId="0" fontId="0" fillId="2" borderId="135" xfId="0" applyFill="1" applyBorder="1" applyAlignment="1">
      <alignment wrapText="1"/>
    </xf>
    <xf numFmtId="0" fontId="0" fillId="2" borderId="138" xfId="0" applyFill="1" applyBorder="1" applyAlignment="1">
      <alignment wrapText="1"/>
    </xf>
    <xf numFmtId="0" fontId="50" fillId="5" borderId="118" xfId="0" applyFont="1" applyFill="1" applyBorder="1" applyAlignment="1">
      <alignment horizontal="center" vertical="center"/>
    </xf>
    <xf numFmtId="0" fontId="0" fillId="0" borderId="86" xfId="0" applyBorder="1" applyAlignment="1">
      <alignment horizontal="center" vertical="center"/>
    </xf>
    <xf numFmtId="0" fontId="50" fillId="5" borderId="202" xfId="0" applyFont="1" applyFill="1" applyBorder="1" applyAlignment="1">
      <alignment horizontal="center" vertical="center" wrapText="1"/>
    </xf>
    <xf numFmtId="0" fontId="0" fillId="0" borderId="86" xfId="0" applyBorder="1" applyAlignment="1">
      <alignment horizontal="center" vertical="center" wrapText="1"/>
    </xf>
    <xf numFmtId="0" fontId="8" fillId="3" borderId="468" xfId="0" applyFont="1" applyFill="1" applyBorder="1" applyAlignment="1">
      <alignment horizontal="left" vertical="center" wrapText="1" indent="1"/>
    </xf>
    <xf numFmtId="0" fontId="8" fillId="3" borderId="359" xfId="0" applyFont="1" applyFill="1" applyBorder="1" applyAlignment="1">
      <alignment horizontal="left" vertical="center" wrapText="1" indent="1"/>
    </xf>
    <xf numFmtId="0" fontId="49" fillId="2" borderId="281" xfId="0" applyFont="1" applyFill="1" applyBorder="1" applyAlignment="1">
      <alignment horizontal="left" vertical="center" wrapText="1"/>
    </xf>
    <xf numFmtId="0" fontId="49" fillId="2" borderId="469" xfId="0" applyFont="1" applyFill="1" applyBorder="1" applyAlignment="1">
      <alignment horizontal="left" vertical="center" wrapText="1"/>
    </xf>
    <xf numFmtId="0" fontId="8" fillId="3" borderId="429" xfId="0" applyFont="1" applyFill="1" applyBorder="1" applyAlignment="1">
      <alignment horizontal="left" vertical="center" wrapText="1" indent="1"/>
    </xf>
    <xf numFmtId="0" fontId="0" fillId="3" borderId="360" xfId="0" applyFill="1" applyBorder="1" applyAlignment="1">
      <alignment horizontal="left" vertical="center" wrapText="1" indent="1"/>
    </xf>
    <xf numFmtId="0" fontId="0" fillId="2" borderId="281" xfId="0" applyFont="1" applyFill="1" applyBorder="1" applyAlignment="1">
      <alignment horizontal="left" vertical="center" wrapText="1"/>
    </xf>
    <xf numFmtId="0" fontId="8" fillId="3" borderId="0" xfId="0" applyFont="1" applyFill="1" applyBorder="1" applyAlignment="1">
      <alignment horizontal="left" vertical="center" indent="1"/>
    </xf>
    <xf numFmtId="0" fontId="0" fillId="3" borderId="470" xfId="0" applyFill="1" applyBorder="1" applyAlignment="1">
      <alignment horizontal="left" vertical="center" indent="1"/>
    </xf>
    <xf numFmtId="0" fontId="49" fillId="0" borderId="471" xfId="0" applyFont="1" applyFill="1" applyBorder="1" applyAlignment="1">
      <alignment horizontal="left" vertical="center" wrapText="1"/>
    </xf>
    <xf numFmtId="0" fontId="0" fillId="0" borderId="387" xfId="0" applyBorder="1" applyAlignment="1">
      <alignment wrapText="1"/>
    </xf>
    <xf numFmtId="0" fontId="0" fillId="0" borderId="352" xfId="0" applyBorder="1" applyAlignment="1">
      <alignment wrapText="1"/>
    </xf>
    <xf numFmtId="0" fontId="8" fillId="3" borderId="353" xfId="0" applyFont="1" applyFill="1" applyBorder="1" applyAlignment="1">
      <alignment horizontal="left" vertical="center" wrapText="1" indent="1"/>
    </xf>
    <xf numFmtId="0" fontId="8" fillId="3" borderId="472" xfId="0" applyFont="1" applyFill="1" applyBorder="1" applyAlignment="1">
      <alignment horizontal="left" vertical="center" wrapText="1" indent="1"/>
    </xf>
    <xf numFmtId="0" fontId="49" fillId="0" borderId="473" xfId="0" applyFont="1" applyFill="1" applyBorder="1" applyAlignment="1">
      <alignment horizontal="left" vertical="center" wrapText="1"/>
    </xf>
    <xf numFmtId="0" fontId="49" fillId="0" borderId="357" xfId="0" applyFont="1" applyFill="1" applyBorder="1" applyAlignment="1">
      <alignment horizontal="left" vertical="center" wrapText="1"/>
    </xf>
    <xf numFmtId="0" fontId="49" fillId="0" borderId="358" xfId="0" applyFont="1" applyFill="1" applyBorder="1" applyAlignment="1">
      <alignment horizontal="left" vertical="center" wrapText="1"/>
    </xf>
    <xf numFmtId="0" fontId="8" fillId="3" borderId="387" xfId="0" applyFont="1" applyFill="1" applyBorder="1" applyAlignment="1">
      <alignment horizontal="left" vertical="center" indent="1"/>
    </xf>
    <xf numFmtId="0" fontId="8" fillId="3" borderId="359" xfId="0" applyFont="1" applyFill="1" applyBorder="1" applyAlignment="1">
      <alignment horizontal="left" vertical="center" indent="1"/>
    </xf>
    <xf numFmtId="0" fontId="49" fillId="0" borderId="474" xfId="0" applyFont="1" applyFill="1" applyBorder="1" applyAlignment="1">
      <alignment horizontal="left" vertical="center" wrapText="1"/>
    </xf>
    <xf numFmtId="0" fontId="49" fillId="0" borderId="281" xfId="0" applyFont="1" applyFill="1" applyBorder="1" applyAlignment="1">
      <alignment horizontal="left" vertical="center" wrapText="1"/>
    </xf>
    <xf numFmtId="0" fontId="49" fillId="0" borderId="475" xfId="0" applyFont="1" applyFill="1" applyBorder="1" applyAlignment="1">
      <alignment horizontal="left" vertical="center" wrapText="1"/>
    </xf>
    <xf numFmtId="0" fontId="8" fillId="3" borderId="387" xfId="0" applyFont="1" applyFill="1" applyBorder="1" applyAlignment="1">
      <alignment horizontal="left" vertical="center" wrapText="1" indent="1"/>
    </xf>
    <xf numFmtId="0" fontId="49" fillId="0" borderId="387" xfId="0" applyFont="1" applyFill="1" applyBorder="1" applyAlignment="1">
      <alignment horizontal="left" vertical="center" wrapText="1"/>
    </xf>
    <xf numFmtId="0" fontId="49" fillId="0" borderId="352" xfId="0" applyFont="1" applyFill="1" applyBorder="1" applyAlignment="1">
      <alignment horizontal="left" vertical="center" wrapText="1"/>
    </xf>
    <xf numFmtId="0" fontId="8" fillId="3" borderId="374" xfId="0" applyFont="1" applyFill="1" applyBorder="1" applyAlignment="1">
      <alignment horizontal="left" vertical="center" wrapText="1" indent="1"/>
    </xf>
    <xf numFmtId="0" fontId="49" fillId="0" borderId="374" xfId="0" applyFont="1" applyFill="1" applyBorder="1" applyAlignment="1">
      <alignment horizontal="left" vertical="center" wrapText="1"/>
    </xf>
    <xf numFmtId="0" fontId="0" fillId="0" borderId="374" xfId="0" applyBorder="1" applyAlignment="1">
      <alignment wrapText="1"/>
    </xf>
    <xf numFmtId="0" fontId="0" fillId="0" borderId="351" xfId="0" applyBorder="1" applyAlignment="1">
      <alignment wrapText="1"/>
    </xf>
    <xf numFmtId="0" fontId="60" fillId="3" borderId="370" xfId="0" applyFont="1" applyFill="1" applyBorder="1" applyAlignment="1">
      <alignment horizontal="left" vertical="center"/>
    </xf>
    <xf numFmtId="0" fontId="33" fillId="3" borderId="370" xfId="0" applyFont="1" applyFill="1" applyBorder="1" applyAlignment="1"/>
    <xf numFmtId="3" fontId="81" fillId="3" borderId="370" xfId="0" applyNumberFormat="1" applyFont="1" applyFill="1" applyBorder="1" applyAlignment="1">
      <alignment horizontal="left" vertical="center" wrapText="1"/>
    </xf>
    <xf numFmtId="0" fontId="0" fillId="0" borderId="370" xfId="0" applyBorder="1" applyAlignment="1">
      <alignment horizontal="left" vertical="center" wrapText="1"/>
    </xf>
    <xf numFmtId="0" fontId="0" fillId="0" borderId="476" xfId="0" applyBorder="1" applyAlignment="1">
      <alignment horizontal="left" vertical="center" wrapText="1"/>
    </xf>
    <xf numFmtId="0" fontId="0" fillId="3" borderId="359" xfId="0" applyFill="1" applyBorder="1" applyAlignment="1">
      <alignment horizontal="left" vertical="center" indent="1"/>
    </xf>
    <xf numFmtId="0" fontId="8" fillId="3" borderId="477" xfId="0" applyFont="1" applyFill="1" applyBorder="1" applyAlignment="1">
      <alignment horizontal="left" vertical="center" wrapText="1" indent="1"/>
    </xf>
    <xf numFmtId="0" fontId="0" fillId="3" borderId="478" xfId="0" applyFill="1" applyBorder="1" applyAlignment="1">
      <alignment horizontal="left" vertical="center" wrapText="1" indent="1"/>
    </xf>
    <xf numFmtId="0" fontId="49" fillId="0" borderId="91" xfId="0" applyFont="1" applyFill="1" applyBorder="1" applyAlignment="1">
      <alignment horizontal="left" vertical="center" wrapText="1"/>
    </xf>
    <xf numFmtId="0" fontId="0" fillId="0" borderId="91" xfId="0" applyBorder="1" applyAlignment="1">
      <alignment wrapText="1"/>
    </xf>
    <xf numFmtId="0" fontId="0" fillId="0" borderId="479" xfId="0" applyBorder="1" applyAlignment="1">
      <alignment wrapText="1"/>
    </xf>
    <xf numFmtId="0" fontId="8" fillId="3" borderId="281" xfId="0" applyFont="1" applyFill="1" applyBorder="1" applyAlignment="1">
      <alignment horizontal="left" vertical="center" indent="1"/>
    </xf>
    <xf numFmtId="0" fontId="0" fillId="3" borderId="360" xfId="0" applyFill="1" applyBorder="1" applyAlignment="1">
      <alignment horizontal="left" vertical="center" indent="1"/>
    </xf>
    <xf numFmtId="0" fontId="49" fillId="0" borderId="480" xfId="0" applyFont="1" applyFill="1" applyBorder="1" applyAlignment="1">
      <alignment horizontal="left" vertical="center" wrapText="1"/>
    </xf>
    <xf numFmtId="0" fontId="0" fillId="0" borderId="424" xfId="0" applyBorder="1" applyAlignment="1">
      <alignment wrapText="1"/>
    </xf>
    <xf numFmtId="0" fontId="0" fillId="0" borderId="481" xfId="0" applyBorder="1" applyAlignment="1">
      <alignment wrapText="1"/>
    </xf>
    <xf numFmtId="0" fontId="0" fillId="3" borderId="359" xfId="0" applyFill="1" applyBorder="1" applyAlignment="1">
      <alignment horizontal="left" vertical="center" wrapText="1" indent="1"/>
    </xf>
    <xf numFmtId="0" fontId="49" fillId="0" borderId="482" xfId="0" applyFont="1" applyFill="1" applyBorder="1" applyAlignment="1">
      <alignment horizontal="left" vertical="center" wrapText="1"/>
    </xf>
    <xf numFmtId="0" fontId="0" fillId="0" borderId="297" xfId="0" applyBorder="1" applyAlignment="1">
      <alignment wrapText="1"/>
    </xf>
    <xf numFmtId="0" fontId="0" fillId="0" borderId="483" xfId="0" applyBorder="1" applyAlignment="1">
      <alignment wrapText="1"/>
    </xf>
    <xf numFmtId="0" fontId="8" fillId="3" borderId="281" xfId="0" applyFont="1" applyFill="1" applyBorder="1" applyAlignment="1">
      <alignment horizontal="left" vertical="center" wrapText="1" indent="1"/>
    </xf>
    <xf numFmtId="0" fontId="8" fillId="3" borderId="0" xfId="0" applyFont="1" applyFill="1" applyBorder="1" applyAlignment="1">
      <alignment horizontal="left" vertical="center" wrapText="1" indent="1"/>
    </xf>
    <xf numFmtId="0" fontId="0" fillId="3" borderId="470" xfId="0" applyFill="1" applyBorder="1" applyAlignment="1">
      <alignment horizontal="left" vertical="center" wrapText="1" indent="1"/>
    </xf>
    <xf numFmtId="0" fontId="8" fillId="3" borderId="281" xfId="0" applyFont="1" applyFill="1" applyBorder="1" applyAlignment="1">
      <alignment horizontal="left" vertical="center" wrapText="1"/>
    </xf>
    <xf numFmtId="0" fontId="0" fillId="0" borderId="360" xfId="0" applyBorder="1" applyAlignment="1">
      <alignment horizontal="left" vertical="center" wrapText="1"/>
    </xf>
    <xf numFmtId="0" fontId="0" fillId="0" borderId="387" xfId="0" applyBorder="1" applyAlignment="1">
      <alignment horizontal="left" vertical="center" wrapText="1"/>
    </xf>
    <xf numFmtId="0" fontId="0" fillId="0" borderId="484" xfId="0" applyBorder="1" applyAlignment="1">
      <alignment horizontal="left" vertical="center" wrapText="1"/>
    </xf>
    <xf numFmtId="0" fontId="8" fillId="3" borderId="485" xfId="0" applyFont="1" applyFill="1" applyBorder="1" applyAlignment="1">
      <alignment horizontal="left" vertical="center" wrapText="1" indent="1"/>
    </xf>
    <xf numFmtId="0" fontId="0" fillId="3" borderId="486" xfId="0" applyFill="1" applyBorder="1" applyAlignment="1">
      <alignment horizontal="left" vertical="center" wrapText="1" indent="1"/>
    </xf>
    <xf numFmtId="0" fontId="49" fillId="0" borderId="487" xfId="0" applyFont="1" applyFill="1" applyBorder="1" applyAlignment="1">
      <alignment horizontal="left" vertical="center" wrapText="1"/>
    </xf>
    <xf numFmtId="0" fontId="0" fillId="0" borderId="487" xfId="0" applyBorder="1" applyAlignment="1">
      <alignment wrapText="1"/>
    </xf>
    <xf numFmtId="0" fontId="0" fillId="0" borderId="488" xfId="0" applyBorder="1" applyAlignment="1">
      <alignment wrapText="1"/>
    </xf>
    <xf numFmtId="0" fontId="49" fillId="0" borderId="489" xfId="0" applyFont="1" applyFill="1" applyBorder="1" applyAlignment="1">
      <alignment horizontal="left" vertical="center" wrapText="1"/>
    </xf>
    <xf numFmtId="0" fontId="0" fillId="0" borderId="0" xfId="0" applyBorder="1" applyAlignment="1">
      <alignment wrapText="1"/>
    </xf>
    <xf numFmtId="0" fontId="0" fillId="0" borderId="349" xfId="0" applyBorder="1" applyAlignment="1">
      <alignment wrapText="1"/>
    </xf>
    <xf numFmtId="0" fontId="8" fillId="3" borderId="387" xfId="0" applyFont="1" applyFill="1" applyBorder="1" applyAlignment="1">
      <alignment horizontal="left" vertical="center" wrapText="1"/>
    </xf>
    <xf numFmtId="0" fontId="0" fillId="0" borderId="359" xfId="0" applyBorder="1" applyAlignment="1">
      <alignment horizontal="left" vertical="center" wrapText="1"/>
    </xf>
    <xf numFmtId="0" fontId="25" fillId="0" borderId="0" xfId="0" applyFont="1" applyFill="1" applyBorder="1" applyAlignment="1">
      <alignment horizontal="left" vertical="center" wrapText="1"/>
    </xf>
    <xf numFmtId="0" fontId="0" fillId="0" borderId="0" xfId="0" applyBorder="1" applyAlignment="1">
      <alignment horizontal="left" vertical="center" wrapText="1"/>
    </xf>
    <xf numFmtId="0" fontId="0" fillId="0" borderId="2" xfId="0" applyBorder="1" applyAlignment="1">
      <alignment horizontal="left" vertical="center" wrapText="1"/>
    </xf>
    <xf numFmtId="0" fontId="8" fillId="3" borderId="159" xfId="0" applyFont="1" applyFill="1" applyBorder="1" applyAlignment="1">
      <alignment horizontal="left" vertical="center" wrapText="1"/>
    </xf>
    <xf numFmtId="0" fontId="0" fillId="0" borderId="490" xfId="0" applyBorder="1" applyAlignment="1">
      <alignment horizontal="left" vertical="center" wrapText="1"/>
    </xf>
    <xf numFmtId="0" fontId="25" fillId="0" borderId="471" xfId="0" applyFont="1" applyFill="1" applyBorder="1" applyAlignment="1">
      <alignment horizontal="left" vertical="center" wrapText="1"/>
    </xf>
    <xf numFmtId="0" fontId="25" fillId="0" borderId="474" xfId="0" applyFont="1" applyFill="1" applyBorder="1" applyAlignment="1">
      <alignment horizontal="left" vertical="center" wrapText="1"/>
    </xf>
    <xf numFmtId="0" fontId="0" fillId="0" borderId="281" xfId="0" applyBorder="1" applyAlignment="1">
      <alignment horizontal="left" vertical="center" wrapText="1"/>
    </xf>
    <xf numFmtId="0" fontId="0" fillId="0" borderId="469" xfId="0" applyBorder="1" applyAlignment="1">
      <alignment horizontal="left" vertical="center" wrapText="1"/>
    </xf>
    <xf numFmtId="0" fontId="8" fillId="3" borderId="92" xfId="0" applyFont="1" applyFill="1" applyBorder="1" applyAlignment="1">
      <alignment horizontal="left" vertical="center" wrapText="1"/>
    </xf>
    <xf numFmtId="0" fontId="0" fillId="0" borderId="92" xfId="0" applyBorder="1" applyAlignment="1">
      <alignment horizontal="left" vertical="center" wrapText="1"/>
    </xf>
    <xf numFmtId="0" fontId="49" fillId="0" borderId="491" xfId="0" applyFont="1" applyFill="1" applyBorder="1" applyAlignment="1">
      <alignment horizontal="left" vertical="center" wrapText="1"/>
    </xf>
    <xf numFmtId="0" fontId="0" fillId="0" borderId="492" xfId="0" applyBorder="1" applyAlignment="1">
      <alignment horizontal="left" vertical="center" wrapText="1"/>
    </xf>
    <xf numFmtId="0" fontId="0" fillId="0" borderId="493" xfId="0" applyBorder="1" applyAlignment="1">
      <alignment horizontal="left" vertical="center" wrapText="1"/>
    </xf>
    <xf numFmtId="0" fontId="8" fillId="3" borderId="494" xfId="0" applyFont="1" applyFill="1" applyBorder="1" applyAlignment="1">
      <alignment horizontal="left" vertical="center" wrapText="1" indent="1"/>
    </xf>
    <xf numFmtId="0" fontId="0" fillId="3" borderId="495" xfId="0" applyFill="1" applyBorder="1" applyAlignment="1">
      <alignment horizontal="left" vertical="center" wrapText="1" indent="1"/>
    </xf>
    <xf numFmtId="0" fontId="49" fillId="0" borderId="496" xfId="0" applyFont="1" applyFill="1" applyBorder="1" applyAlignment="1">
      <alignment horizontal="left" vertical="center" wrapText="1"/>
    </xf>
    <xf numFmtId="0" fontId="0" fillId="0" borderId="494" xfId="0" applyBorder="1" applyAlignment="1">
      <alignment wrapText="1"/>
    </xf>
    <xf numFmtId="0" fontId="0" fillId="0" borderId="497" xfId="0" applyBorder="1" applyAlignment="1">
      <alignment wrapText="1"/>
    </xf>
    <xf numFmtId="0" fontId="1" fillId="2" borderId="309" xfId="0" applyFont="1" applyFill="1" applyBorder="1" applyAlignment="1">
      <alignment horizontal="left" vertical="center" wrapText="1"/>
    </xf>
    <xf numFmtId="0" fontId="0" fillId="0" borderId="498" xfId="0" applyBorder="1" applyAlignment="1">
      <alignment vertical="center" wrapText="1"/>
    </xf>
    <xf numFmtId="0" fontId="0" fillId="0" borderId="277" xfId="0" applyBorder="1" applyAlignment="1">
      <alignment vertical="center" wrapText="1"/>
    </xf>
    <xf numFmtId="0" fontId="0" fillId="0" borderId="338" xfId="0" applyBorder="1" applyAlignment="1">
      <alignment vertical="center" wrapText="1"/>
    </xf>
    <xf numFmtId="0" fontId="17" fillId="3" borderId="0" xfId="0" applyFont="1" applyFill="1" applyBorder="1" applyAlignment="1">
      <alignment vertical="center" wrapText="1"/>
    </xf>
    <xf numFmtId="0" fontId="0" fillId="3" borderId="0" xfId="0" applyFill="1" applyBorder="1" applyAlignment="1">
      <alignment vertical="center" wrapText="1"/>
    </xf>
    <xf numFmtId="0" fontId="0" fillId="3" borderId="235" xfId="0" applyFill="1" applyBorder="1" applyAlignment="1">
      <alignment vertical="center" wrapText="1"/>
    </xf>
    <xf numFmtId="0" fontId="18" fillId="3" borderId="280" xfId="0" applyFont="1" applyFill="1" applyBorder="1" applyAlignment="1">
      <alignment vertical="center" wrapText="1"/>
    </xf>
    <xf numFmtId="0" fontId="0" fillId="3" borderId="280" xfId="0" applyFill="1" applyBorder="1" applyAlignment="1">
      <alignment vertical="center" wrapText="1"/>
    </xf>
    <xf numFmtId="0" fontId="0" fillId="3" borderId="241" xfId="0" applyFill="1" applyBorder="1" applyAlignment="1">
      <alignment vertical="center" wrapText="1"/>
    </xf>
    <xf numFmtId="0" fontId="18" fillId="3" borderId="0" xfId="0" applyFont="1" applyFill="1" applyBorder="1" applyAlignment="1">
      <alignment vertical="center" wrapText="1"/>
    </xf>
    <xf numFmtId="0" fontId="18" fillId="0" borderId="0" xfId="0" applyFont="1" applyFill="1" applyBorder="1" applyAlignment="1">
      <alignment vertical="center" wrapText="1"/>
    </xf>
    <xf numFmtId="0" fontId="0" fillId="0" borderId="0" xfId="0" applyFill="1" applyBorder="1" applyAlignment="1">
      <alignment vertical="center" wrapText="1"/>
    </xf>
    <xf numFmtId="0" fontId="0" fillId="0" borderId="235" xfId="0" applyFill="1" applyBorder="1" applyAlignment="1">
      <alignment vertical="center" wrapText="1"/>
    </xf>
    <xf numFmtId="0" fontId="20" fillId="3" borderId="0" xfId="0" applyFont="1" applyFill="1" applyBorder="1" applyAlignment="1">
      <alignment vertical="center" wrapText="1"/>
    </xf>
    <xf numFmtId="0" fontId="17" fillId="0" borderId="0" xfId="0" applyFont="1" applyFill="1" applyBorder="1" applyAlignment="1">
      <alignment vertical="center" wrapText="1"/>
    </xf>
    <xf numFmtId="0" fontId="18" fillId="2" borderId="0" xfId="0" applyFont="1" applyFill="1" applyBorder="1" applyAlignment="1">
      <alignment vertical="center" wrapText="1"/>
    </xf>
    <xf numFmtId="0" fontId="0" fillId="2" borderId="0" xfId="0" applyFill="1" applyBorder="1" applyAlignment="1">
      <alignment vertical="center" wrapText="1"/>
    </xf>
    <xf numFmtId="0" fontId="0" fillId="2" borderId="235" xfId="0" applyFill="1" applyBorder="1" applyAlignment="1">
      <alignment vertical="center" wrapText="1"/>
    </xf>
    <xf numFmtId="0" fontId="1" fillId="0" borderId="277" xfId="0" applyFont="1" applyBorder="1" applyAlignment="1">
      <alignment vertical="center" wrapText="1"/>
    </xf>
    <xf numFmtId="0" fontId="1" fillId="0" borderId="338" xfId="0" applyFont="1" applyBorder="1" applyAlignment="1">
      <alignment wrapText="1"/>
    </xf>
    <xf numFmtId="0" fontId="56" fillId="0" borderId="189" xfId="0" applyFont="1" applyBorder="1" applyAlignment="1">
      <alignment vertical="center" wrapText="1"/>
    </xf>
    <xf numFmtId="0" fontId="0" fillId="0" borderId="189" xfId="0" applyBorder="1" applyAlignment="1">
      <alignment wrapText="1"/>
    </xf>
    <xf numFmtId="0" fontId="0" fillId="0" borderId="248" xfId="0" applyBorder="1" applyAlignment="1">
      <alignment wrapText="1"/>
    </xf>
    <xf numFmtId="0" fontId="1" fillId="3" borderId="250" xfId="0" applyFont="1" applyFill="1" applyBorder="1" applyAlignment="1">
      <alignment vertical="center" wrapText="1"/>
    </xf>
    <xf numFmtId="0" fontId="0" fillId="3" borderId="342" xfId="0" applyFill="1" applyBorder="1" applyAlignment="1">
      <alignment wrapText="1"/>
    </xf>
    <xf numFmtId="0" fontId="1" fillId="0" borderId="250" xfId="0" applyFont="1" applyBorder="1" applyAlignment="1">
      <alignment vertical="center" wrapText="1"/>
    </xf>
    <xf numFmtId="0" fontId="1" fillId="0" borderId="342" xfId="0" applyFont="1" applyBorder="1" applyAlignment="1">
      <alignment wrapText="1"/>
    </xf>
    <xf numFmtId="0" fontId="1" fillId="3" borderId="342" xfId="0" applyFont="1" applyFill="1" applyBorder="1" applyAlignment="1">
      <alignment wrapText="1"/>
    </xf>
    <xf numFmtId="0" fontId="56" fillId="3" borderId="280" xfId="0" applyFont="1" applyFill="1" applyBorder="1" applyAlignment="1">
      <alignment vertical="center" wrapText="1"/>
    </xf>
    <xf numFmtId="0" fontId="0" fillId="3" borderId="280" xfId="0" applyFill="1" applyBorder="1" applyAlignment="1">
      <alignment wrapText="1"/>
    </xf>
    <xf numFmtId="0" fontId="0" fillId="3" borderId="241" xfId="0" applyFill="1" applyBorder="1" applyAlignment="1">
      <alignment wrapText="1"/>
    </xf>
    <xf numFmtId="0" fontId="56" fillId="0" borderId="0" xfId="0" applyFont="1" applyBorder="1" applyAlignment="1">
      <alignment vertical="center" wrapText="1"/>
    </xf>
    <xf numFmtId="0" fontId="0" fillId="0" borderId="235" xfId="0" applyBorder="1" applyAlignment="1">
      <alignment wrapText="1"/>
    </xf>
    <xf numFmtId="0" fontId="56" fillId="3" borderId="0" xfId="0" applyFont="1" applyFill="1" applyBorder="1" applyAlignment="1">
      <alignment vertical="center" wrapText="1"/>
    </xf>
    <xf numFmtId="0" fontId="0" fillId="3" borderId="0" xfId="0" applyFill="1" applyBorder="1" applyAlignment="1">
      <alignment wrapText="1"/>
    </xf>
    <xf numFmtId="0" fontId="0" fillId="3" borderId="235" xfId="0" applyFill="1" applyBorder="1" applyAlignment="1">
      <alignment wrapText="1"/>
    </xf>
    <xf numFmtId="0" fontId="18" fillId="3" borderId="374" xfId="0" applyFont="1" applyFill="1" applyBorder="1" applyAlignment="1">
      <alignment vertical="center" wrapText="1"/>
    </xf>
    <xf numFmtId="0" fontId="0" fillId="3" borderId="374" xfId="0" applyFill="1" applyBorder="1" applyAlignment="1">
      <alignment vertical="center" wrapText="1"/>
    </xf>
    <xf numFmtId="0" fontId="0" fillId="3" borderId="351" xfId="0" applyFill="1" applyBorder="1" applyAlignment="1">
      <alignment vertical="center" wrapText="1"/>
    </xf>
    <xf numFmtId="0" fontId="17" fillId="3" borderId="189" xfId="0" applyFont="1" applyFill="1" applyBorder="1" applyAlignment="1">
      <alignment vertical="center" wrapText="1"/>
    </xf>
    <xf numFmtId="0" fontId="0" fillId="3" borderId="189" xfId="0" applyFill="1" applyBorder="1" applyAlignment="1">
      <alignment vertical="center" wrapText="1"/>
    </xf>
    <xf numFmtId="0" fontId="0" fillId="3" borderId="248" xfId="0" applyFill="1" applyBorder="1" applyAlignment="1">
      <alignment vertical="center" wrapText="1"/>
    </xf>
    <xf numFmtId="0" fontId="0" fillId="0" borderId="189" xfId="0" applyBorder="1" applyAlignment="1"/>
    <xf numFmtId="0" fontId="0" fillId="0" borderId="248" xfId="0" applyBorder="1" applyAlignment="1"/>
    <xf numFmtId="0" fontId="178" fillId="2" borderId="0" xfId="0" applyFont="1" applyFill="1" applyBorder="1" applyAlignment="1">
      <alignment vertical="center" wrapText="1"/>
    </xf>
    <xf numFmtId="0" fontId="179" fillId="0" borderId="0" xfId="0" applyFont="1" applyBorder="1" applyAlignment="1">
      <alignment vertical="center" wrapText="1"/>
    </xf>
    <xf numFmtId="0" fontId="179" fillId="0" borderId="349" xfId="0" applyFont="1" applyBorder="1" applyAlignment="1">
      <alignment vertical="center" wrapText="1"/>
    </xf>
    <xf numFmtId="0" fontId="0" fillId="3" borderId="349" xfId="0" applyFill="1" applyBorder="1" applyAlignment="1">
      <alignment vertical="center" wrapText="1"/>
    </xf>
    <xf numFmtId="0" fontId="17" fillId="2" borderId="0" xfId="0" applyFont="1" applyFill="1" applyBorder="1" applyAlignment="1">
      <alignment vertical="center" wrapText="1"/>
    </xf>
    <xf numFmtId="0" fontId="18" fillId="0" borderId="189" xfId="0" applyFont="1" applyBorder="1" applyAlignment="1">
      <alignment vertical="center" wrapText="1"/>
    </xf>
    <xf numFmtId="0" fontId="0" fillId="0" borderId="189" xfId="0" applyBorder="1" applyAlignment="1">
      <alignment vertical="center" wrapText="1"/>
    </xf>
    <xf numFmtId="0" fontId="0" fillId="0" borderId="248" xfId="0" applyBorder="1" applyAlignment="1">
      <alignment vertical="center" wrapText="1"/>
    </xf>
    <xf numFmtId="0" fontId="1" fillId="3" borderId="277" xfId="0" applyFont="1" applyFill="1" applyBorder="1" applyAlignment="1">
      <alignment vertical="center" wrapText="1"/>
    </xf>
    <xf numFmtId="0" fontId="1" fillId="3" borderId="338" xfId="0" applyFont="1" applyFill="1" applyBorder="1" applyAlignment="1">
      <alignment wrapText="1"/>
    </xf>
    <xf numFmtId="0" fontId="18" fillId="0" borderId="0" xfId="0" applyFont="1" applyBorder="1" applyAlignment="1">
      <alignment vertical="center" wrapText="1"/>
    </xf>
    <xf numFmtId="0" fontId="18" fillId="3" borderId="189" xfId="0" applyFont="1" applyFill="1" applyBorder="1" applyAlignment="1">
      <alignment vertical="center" wrapText="1"/>
    </xf>
    <xf numFmtId="0" fontId="0" fillId="3" borderId="189" xfId="0" applyFill="1" applyBorder="1" applyAlignment="1">
      <alignment wrapText="1"/>
    </xf>
    <xf numFmtId="0" fontId="0" fillId="3" borderId="248" xfId="0" applyFill="1" applyBorder="1" applyAlignment="1">
      <alignment wrapText="1"/>
    </xf>
    <xf numFmtId="0" fontId="37" fillId="2" borderId="0" xfId="0" applyFont="1" applyFill="1" applyBorder="1" applyAlignment="1">
      <alignment wrapText="1"/>
    </xf>
    <xf numFmtId="0" fontId="0" fillId="0" borderId="0" xfId="0" applyBorder="1" applyAlignment="1"/>
    <xf numFmtId="0" fontId="0" fillId="0" borderId="349" xfId="0" applyBorder="1" applyAlignment="1"/>
    <xf numFmtId="0" fontId="18" fillId="3" borderId="281" xfId="0" applyFont="1" applyFill="1" applyBorder="1" applyAlignment="1">
      <alignment vertical="center" wrapText="1"/>
    </xf>
    <xf numFmtId="0" fontId="0" fillId="3" borderId="281" xfId="0" applyFill="1" applyBorder="1" applyAlignment="1"/>
    <xf numFmtId="0" fontId="0" fillId="3" borderId="475" xfId="0" applyFill="1" applyBorder="1" applyAlignment="1"/>
    <xf numFmtId="0" fontId="0" fillId="0" borderId="0" xfId="0" applyFill="1" applyBorder="1" applyAlignment="1"/>
    <xf numFmtId="0" fontId="0" fillId="0" borderId="349" xfId="0" applyFill="1" applyBorder="1" applyAlignment="1"/>
    <xf numFmtId="0" fontId="0" fillId="3" borderId="374" xfId="0" applyFill="1" applyBorder="1" applyAlignment="1">
      <alignment wrapText="1"/>
    </xf>
    <xf numFmtId="0" fontId="0" fillId="3" borderId="351" xfId="0" applyFill="1" applyBorder="1" applyAlignment="1">
      <alignment wrapText="1"/>
    </xf>
    <xf numFmtId="0" fontId="0" fillId="3" borderId="281" xfId="0" applyFill="1" applyBorder="1" applyAlignment="1">
      <alignment wrapText="1"/>
    </xf>
    <xf numFmtId="0" fontId="0" fillId="3" borderId="475" xfId="0" applyFill="1" applyBorder="1" applyAlignment="1">
      <alignment wrapText="1"/>
    </xf>
    <xf numFmtId="0" fontId="18" fillId="0" borderId="307" xfId="0" applyFont="1" applyBorder="1" applyAlignment="1">
      <alignment vertical="center" wrapText="1"/>
    </xf>
    <xf numFmtId="0" fontId="0" fillId="0" borderId="307" xfId="0" applyBorder="1" applyAlignment="1">
      <alignment wrapText="1"/>
    </xf>
    <xf numFmtId="0" fontId="0" fillId="0" borderId="499" xfId="0" applyBorder="1" applyAlignment="1">
      <alignment wrapText="1"/>
    </xf>
    <xf numFmtId="0" fontId="1" fillId="2" borderId="408" xfId="0" applyFont="1" applyFill="1" applyBorder="1" applyAlignment="1">
      <alignment vertical="center" wrapText="1"/>
    </xf>
    <xf numFmtId="0" fontId="0" fillId="0" borderId="342" xfId="0" applyBorder="1" applyAlignment="1">
      <alignment vertical="center"/>
    </xf>
    <xf numFmtId="0" fontId="18" fillId="2" borderId="348" xfId="0" applyFont="1" applyFill="1" applyBorder="1" applyAlignment="1">
      <alignment vertical="center" wrapText="1"/>
    </xf>
    <xf numFmtId="0" fontId="0" fillId="0" borderId="0" xfId="0" applyAlignment="1"/>
    <xf numFmtId="0" fontId="0" fillId="3" borderId="349" xfId="0" applyFill="1" applyBorder="1" applyAlignment="1">
      <alignment wrapText="1"/>
    </xf>
    <xf numFmtId="0" fontId="0" fillId="2" borderId="0" xfId="0" applyFill="1" applyBorder="1" applyAlignment="1">
      <alignment wrapText="1"/>
    </xf>
    <xf numFmtId="0" fontId="0" fillId="2" borderId="349" xfId="0" applyFill="1" applyBorder="1" applyAlignment="1">
      <alignment wrapText="1"/>
    </xf>
    <xf numFmtId="0" fontId="56" fillId="2" borderId="387" xfId="0" applyFont="1" applyFill="1" applyBorder="1" applyAlignment="1">
      <alignment vertical="center" wrapText="1"/>
    </xf>
    <xf numFmtId="0" fontId="0" fillId="2" borderId="387" xfId="0" applyFill="1" applyBorder="1" applyAlignment="1">
      <alignment wrapText="1"/>
    </xf>
    <xf numFmtId="0" fontId="0" fillId="2" borderId="352" xfId="0" applyFill="1" applyBorder="1" applyAlignment="1">
      <alignment wrapText="1"/>
    </xf>
    <xf numFmtId="0" fontId="56" fillId="3" borderId="281" xfId="0" applyFont="1" applyFill="1" applyBorder="1" applyAlignment="1">
      <alignment vertical="center" wrapText="1"/>
    </xf>
    <xf numFmtId="0" fontId="7" fillId="2" borderId="60" xfId="0" applyFont="1" applyFill="1" applyBorder="1" applyAlignment="1">
      <alignment horizontal="left" wrapText="1"/>
    </xf>
    <xf numFmtId="0" fontId="0" fillId="2" borderId="41" xfId="0" applyFill="1" applyBorder="1" applyAlignment="1">
      <alignment wrapText="1"/>
    </xf>
    <xf numFmtId="0" fontId="8" fillId="3" borderId="159" xfId="0" applyFont="1" applyFill="1" applyBorder="1" applyAlignment="1">
      <alignment horizontal="left" vertical="center" wrapText="1" indent="1"/>
    </xf>
    <xf numFmtId="0" fontId="0" fillId="0" borderId="460" xfId="0" applyBorder="1" applyAlignment="1">
      <alignment horizontal="left" vertical="center" wrapText="1" indent="1"/>
    </xf>
    <xf numFmtId="0" fontId="8" fillId="3" borderId="91" xfId="0" applyFont="1" applyFill="1" applyBorder="1" applyAlignment="1">
      <alignment horizontal="left" vertical="center" wrapText="1" indent="1"/>
    </xf>
    <xf numFmtId="0" fontId="0" fillId="3" borderId="500" xfId="0" applyFill="1" applyBorder="1" applyAlignment="1">
      <alignment horizontal="left" vertical="center" wrapText="1" indent="1"/>
    </xf>
    <xf numFmtId="0" fontId="50" fillId="5" borderId="143" xfId="0" applyFont="1" applyFill="1" applyBorder="1" applyAlignment="1">
      <alignment horizontal="center" vertical="center"/>
    </xf>
    <xf numFmtId="0" fontId="0" fillId="0" borderId="501" xfId="0" applyBorder="1" applyAlignment="1">
      <alignment horizontal="center" vertical="center"/>
    </xf>
    <xf numFmtId="0" fontId="50" fillId="5" borderId="202" xfId="0" applyFont="1" applyFill="1" applyBorder="1" applyAlignment="1">
      <alignment horizontal="center" vertical="center"/>
    </xf>
    <xf numFmtId="0" fontId="50" fillId="5" borderId="502" xfId="0" applyFont="1" applyFill="1" applyBorder="1" applyAlignment="1">
      <alignment horizontal="center" vertical="center"/>
    </xf>
    <xf numFmtId="0" fontId="60" fillId="3" borderId="142" xfId="0" applyFont="1" applyFill="1" applyBorder="1" applyAlignment="1">
      <alignment horizontal="left" vertical="center"/>
    </xf>
    <xf numFmtId="0" fontId="33" fillId="0" borderId="46" xfId="0" applyFont="1" applyBorder="1" applyAlignment="1"/>
    <xf numFmtId="0" fontId="8" fillId="3" borderId="133" xfId="0" applyFont="1" applyFill="1" applyBorder="1" applyAlignment="1">
      <alignment horizontal="left" vertical="center" indent="1"/>
    </xf>
    <xf numFmtId="0" fontId="0" fillId="3" borderId="503" xfId="0" applyFill="1" applyBorder="1" applyAlignment="1">
      <alignment horizontal="left" vertical="center" indent="1"/>
    </xf>
    <xf numFmtId="3" fontId="81" fillId="3" borderId="46" xfId="0" applyNumberFormat="1" applyFont="1" applyFill="1" applyBorder="1" applyAlignment="1">
      <alignment horizontal="left" vertical="center" wrapText="1"/>
    </xf>
    <xf numFmtId="0" fontId="0" fillId="0" borderId="46" xfId="0" applyBorder="1" applyAlignment="1">
      <alignment horizontal="left" vertical="center" wrapText="1"/>
    </xf>
    <xf numFmtId="0" fontId="0" fillId="0" borderId="64" xfId="0" applyBorder="1" applyAlignment="1">
      <alignment horizontal="left" vertical="center" wrapText="1"/>
    </xf>
    <xf numFmtId="0" fontId="49" fillId="0" borderId="504" xfId="0" applyFont="1" applyFill="1" applyBorder="1" applyAlignment="1">
      <alignment horizontal="left" vertical="center" wrapText="1"/>
    </xf>
    <xf numFmtId="0" fontId="0" fillId="0" borderId="133" xfId="0" applyBorder="1" applyAlignment="1">
      <alignment wrapText="1"/>
    </xf>
    <xf numFmtId="0" fontId="0" fillId="0" borderId="164" xfId="0" applyBorder="1" applyAlignment="1">
      <alignment wrapText="1"/>
    </xf>
    <xf numFmtId="0" fontId="8" fillId="3" borderId="133" xfId="0" applyFont="1" applyFill="1" applyBorder="1" applyAlignment="1">
      <alignment horizontal="left" vertical="center" wrapText="1" indent="1"/>
    </xf>
    <xf numFmtId="0" fontId="0" fillId="0" borderId="503" xfId="0" applyBorder="1" applyAlignment="1">
      <alignment horizontal="left" vertical="center" wrapText="1" indent="1"/>
    </xf>
    <xf numFmtId="0" fontId="8" fillId="3" borderId="91" xfId="0" applyFont="1" applyFill="1" applyBorder="1" applyAlignment="1">
      <alignment horizontal="left" vertical="center" indent="1"/>
    </xf>
    <xf numFmtId="0" fontId="0" fillId="0" borderId="500" xfId="0" applyBorder="1" applyAlignment="1">
      <alignment horizontal="left" vertical="center" indent="1"/>
    </xf>
    <xf numFmtId="0" fontId="0" fillId="0" borderId="133" xfId="0" applyBorder="1" applyAlignment="1"/>
    <xf numFmtId="0" fontId="0" fillId="0" borderId="164" xfId="0" applyBorder="1" applyAlignment="1"/>
    <xf numFmtId="0" fontId="49" fillId="0" borderId="505" xfId="0" applyFont="1" applyFill="1" applyBorder="1" applyAlignment="1">
      <alignment horizontal="left" vertical="center" wrapText="1"/>
    </xf>
    <xf numFmtId="0" fontId="0" fillId="0" borderId="114" xfId="0" applyBorder="1" applyAlignment="1">
      <alignment wrapText="1"/>
    </xf>
    <xf numFmtId="0" fontId="49" fillId="0" borderId="150" xfId="0" applyFont="1" applyFill="1" applyBorder="1" applyAlignment="1">
      <alignment horizontal="left" vertical="center" wrapText="1"/>
    </xf>
    <xf numFmtId="0" fontId="0" fillId="0" borderId="41" xfId="0" applyBorder="1" applyAlignment="1">
      <alignment wrapText="1"/>
    </xf>
    <xf numFmtId="0" fontId="8" fillId="3" borderId="125" xfId="0" applyFont="1" applyFill="1" applyBorder="1" applyAlignment="1">
      <alignment horizontal="left" vertical="center" indent="1"/>
    </xf>
    <xf numFmtId="0" fontId="8" fillId="3" borderId="506" xfId="0" applyFont="1" applyFill="1" applyBorder="1" applyAlignment="1">
      <alignment horizontal="left" vertical="center" wrapText="1" indent="1"/>
    </xf>
    <xf numFmtId="0" fontId="0" fillId="3" borderId="507" xfId="0" applyFill="1" applyBorder="1" applyAlignment="1">
      <alignment horizontal="left" vertical="center" wrapText="1" indent="1"/>
    </xf>
    <xf numFmtId="0" fontId="0" fillId="3" borderId="500" xfId="0" applyFill="1" applyBorder="1" applyAlignment="1">
      <alignment horizontal="left" vertical="center" indent="1"/>
    </xf>
    <xf numFmtId="0" fontId="0" fillId="3" borderId="15" xfId="0" applyFill="1" applyBorder="1" applyAlignment="1">
      <alignment horizontal="left" vertical="center" wrapText="1" indent="1"/>
    </xf>
    <xf numFmtId="0" fontId="8" fillId="3" borderId="125" xfId="0" applyFont="1" applyFill="1" applyBorder="1" applyAlignment="1">
      <alignment horizontal="left" vertical="center" wrapText="1" indent="1"/>
    </xf>
    <xf numFmtId="0" fontId="8" fillId="3" borderId="125" xfId="0" applyFont="1" applyFill="1" applyBorder="1" applyAlignment="1">
      <alignment horizontal="left" vertical="center" wrapText="1"/>
    </xf>
    <xf numFmtId="0" fontId="0" fillId="0" borderId="500" xfId="0" applyBorder="1" applyAlignment="1">
      <alignment horizontal="left" vertical="center" wrapText="1"/>
    </xf>
    <xf numFmtId="0" fontId="8" fillId="3" borderId="506" xfId="0" applyFont="1" applyFill="1" applyBorder="1" applyAlignment="1">
      <alignment horizontal="left" vertical="center" wrapText="1"/>
    </xf>
    <xf numFmtId="0" fontId="0" fillId="0" borderId="507" xfId="0" applyBorder="1" applyAlignment="1">
      <alignment horizontal="left" vertical="center" wrapText="1"/>
    </xf>
    <xf numFmtId="0" fontId="49" fillId="0" borderId="508" xfId="0" applyFont="1" applyFill="1" applyBorder="1" applyAlignment="1">
      <alignment horizontal="left" vertical="center" wrapText="1"/>
    </xf>
    <xf numFmtId="0" fontId="0" fillId="0" borderId="316" xfId="0" applyBorder="1" applyAlignment="1">
      <alignment wrapText="1"/>
    </xf>
    <xf numFmtId="0" fontId="0" fillId="0" borderId="174" xfId="0" applyBorder="1" applyAlignment="1">
      <alignment wrapText="1"/>
    </xf>
    <xf numFmtId="0" fontId="49" fillId="0" borderId="509" xfId="0" applyFont="1" applyFill="1" applyBorder="1" applyAlignment="1">
      <alignment horizontal="left" vertical="center" wrapText="1"/>
    </xf>
    <xf numFmtId="0" fontId="0" fillId="0" borderId="159" xfId="0" applyBorder="1" applyAlignment="1">
      <alignment wrapText="1"/>
    </xf>
    <xf numFmtId="0" fontId="0" fillId="0" borderId="116" xfId="0" applyBorder="1" applyAlignment="1">
      <alignment wrapText="1"/>
    </xf>
    <xf numFmtId="0" fontId="59" fillId="4" borderId="92" xfId="0" applyFont="1" applyFill="1" applyBorder="1" applyAlignment="1">
      <alignment horizontal="center" vertical="center"/>
    </xf>
    <xf numFmtId="0" fontId="0" fillId="0" borderId="92" xfId="0" applyBorder="1" applyAlignment="1">
      <alignment horizontal="center"/>
    </xf>
    <xf numFmtId="0" fontId="8" fillId="3" borderId="143" xfId="0" applyFont="1" applyFill="1" applyBorder="1" applyAlignment="1">
      <alignment horizontal="left" vertical="center" wrapText="1"/>
    </xf>
    <xf numFmtId="0" fontId="0" fillId="0" borderId="503" xfId="0" applyBorder="1" applyAlignment="1">
      <alignment horizontal="left" vertical="center" wrapText="1"/>
    </xf>
    <xf numFmtId="0" fontId="0" fillId="0" borderId="316" xfId="0" applyBorder="1" applyAlignment="1">
      <alignment horizontal="left" vertical="center" wrapText="1"/>
    </xf>
    <xf numFmtId="0" fontId="0" fillId="0" borderId="510" xfId="0" applyBorder="1" applyAlignment="1">
      <alignment horizontal="left" vertical="center" wrapText="1"/>
    </xf>
    <xf numFmtId="0" fontId="25" fillId="0" borderId="505" xfId="0" applyFont="1" applyFill="1" applyBorder="1" applyAlignment="1">
      <alignment horizontal="left" vertical="center" wrapText="1"/>
    </xf>
    <xf numFmtId="0" fontId="0" fillId="0" borderId="91" xfId="0" applyBorder="1" applyAlignment="1">
      <alignment horizontal="left" vertical="center" wrapText="1"/>
    </xf>
    <xf numFmtId="0" fontId="0" fillId="0" borderId="104" xfId="0" applyBorder="1" applyAlignment="1">
      <alignment horizontal="left" vertical="center" wrapText="1"/>
    </xf>
    <xf numFmtId="0" fontId="25" fillId="0" borderId="511" xfId="0" applyFont="1" applyFill="1" applyBorder="1" applyAlignment="1">
      <alignment horizontal="left" vertical="center" wrapText="1"/>
    </xf>
    <xf numFmtId="0" fontId="0" fillId="0" borderId="85" xfId="0" applyBorder="1" applyAlignment="1">
      <alignment horizontal="left" vertical="center" wrapText="1"/>
    </xf>
    <xf numFmtId="0" fontId="0" fillId="0" borderId="110" xfId="0" applyBorder="1" applyAlignment="1">
      <alignment horizontal="left" vertical="center" wrapText="1"/>
    </xf>
    <xf numFmtId="0" fontId="1" fillId="3" borderId="189" xfId="0" applyFont="1" applyFill="1" applyBorder="1" applyAlignment="1">
      <alignment vertical="center" wrapText="1"/>
    </xf>
    <xf numFmtId="0" fontId="1" fillId="3" borderId="189" xfId="0" applyFont="1" applyFill="1" applyBorder="1" applyAlignment="1">
      <alignment wrapText="1"/>
    </xf>
    <xf numFmtId="0" fontId="1" fillId="0" borderId="0" xfId="0" applyFont="1" applyBorder="1" applyAlignment="1">
      <alignment vertical="center" wrapText="1"/>
    </xf>
    <xf numFmtId="0" fontId="1" fillId="0" borderId="145" xfId="0" applyFont="1" applyBorder="1" applyAlignment="1">
      <alignment wrapText="1"/>
    </xf>
    <xf numFmtId="0" fontId="1" fillId="0" borderId="189" xfId="0" applyFont="1" applyBorder="1" applyAlignment="1">
      <alignment vertical="center" wrapText="1"/>
    </xf>
    <xf numFmtId="0" fontId="1" fillId="0" borderId="189" xfId="0" applyFont="1" applyBorder="1" applyAlignment="1">
      <alignment wrapText="1"/>
    </xf>
    <xf numFmtId="0" fontId="18" fillId="3" borderId="269" xfId="0" applyFont="1" applyFill="1" applyBorder="1" applyAlignment="1">
      <alignment vertical="center" wrapText="1"/>
    </xf>
    <xf numFmtId="0" fontId="56" fillId="0" borderId="197" xfId="0" applyFont="1" applyBorder="1" applyAlignment="1">
      <alignment vertical="center" wrapText="1"/>
    </xf>
    <xf numFmtId="0" fontId="56" fillId="0" borderId="192" xfId="0" applyFont="1" applyBorder="1" applyAlignment="1">
      <alignment vertical="center" wrapText="1"/>
    </xf>
    <xf numFmtId="0" fontId="56" fillId="3" borderId="188" xfId="0" applyFont="1" applyFill="1" applyBorder="1" applyAlignment="1">
      <alignment vertical="center" wrapText="1"/>
    </xf>
    <xf numFmtId="0" fontId="18" fillId="0" borderId="192" xfId="0" applyFont="1" applyBorder="1" applyAlignment="1">
      <alignment vertical="center" wrapText="1"/>
    </xf>
    <xf numFmtId="0" fontId="1" fillId="3" borderId="0" xfId="0" applyFont="1" applyFill="1" applyBorder="1" applyAlignment="1">
      <alignment vertical="center" wrapText="1"/>
    </xf>
    <xf numFmtId="0" fontId="1" fillId="3" borderId="146" xfId="0" applyFont="1" applyFill="1" applyBorder="1" applyAlignment="1">
      <alignment wrapText="1"/>
    </xf>
    <xf numFmtId="0" fontId="1" fillId="0" borderId="0" xfId="0" applyFont="1" applyBorder="1" applyAlignment="1">
      <alignment wrapText="1"/>
    </xf>
    <xf numFmtId="0" fontId="18" fillId="2" borderId="197" xfId="0" applyFont="1" applyFill="1" applyBorder="1" applyAlignment="1">
      <alignment vertical="center" wrapText="1"/>
    </xf>
    <xf numFmtId="0" fontId="1" fillId="0" borderId="275" xfId="0" applyFont="1" applyBorder="1" applyAlignment="1">
      <alignment wrapText="1"/>
    </xf>
    <xf numFmtId="0" fontId="18" fillId="0" borderId="197" xfId="0" applyFont="1" applyBorder="1" applyAlignment="1">
      <alignment vertical="center" wrapText="1"/>
    </xf>
    <xf numFmtId="0" fontId="18" fillId="3" borderId="512" xfId="0" applyFont="1" applyFill="1" applyBorder="1" applyAlignment="1">
      <alignment vertical="center" wrapText="1"/>
    </xf>
    <xf numFmtId="0" fontId="18" fillId="3" borderId="188" xfId="0" applyFont="1" applyFill="1" applyBorder="1" applyAlignment="1">
      <alignment vertical="center" wrapText="1"/>
    </xf>
    <xf numFmtId="0" fontId="18" fillId="0" borderId="189" xfId="0" applyFont="1" applyFill="1" applyBorder="1" applyAlignment="1">
      <alignment vertical="center" wrapText="1"/>
    </xf>
    <xf numFmtId="0" fontId="0" fillId="0" borderId="189" xfId="0" applyFill="1" applyBorder="1" applyAlignment="1">
      <alignment vertical="center" wrapText="1"/>
    </xf>
    <xf numFmtId="0" fontId="0" fillId="0" borderId="248" xfId="0" applyFill="1" applyBorder="1" applyAlignment="1">
      <alignment vertical="center" wrapText="1"/>
    </xf>
    <xf numFmtId="0" fontId="0" fillId="3" borderId="146" xfId="0" applyFill="1" applyBorder="1" applyAlignment="1">
      <alignment wrapText="1"/>
    </xf>
    <xf numFmtId="0" fontId="180" fillId="3" borderId="188" xfId="0" applyFont="1" applyFill="1" applyBorder="1" applyAlignment="1">
      <alignment vertical="center" wrapText="1"/>
    </xf>
    <xf numFmtId="0" fontId="181" fillId="3" borderId="0" xfId="0" applyFont="1" applyFill="1" applyBorder="1" applyAlignment="1">
      <alignment vertical="center" wrapText="1"/>
    </xf>
    <xf numFmtId="0" fontId="181" fillId="3" borderId="235" xfId="0" applyFont="1" applyFill="1" applyBorder="1" applyAlignment="1">
      <alignment vertical="center" wrapText="1"/>
    </xf>
    <xf numFmtId="0" fontId="0" fillId="2" borderId="189" xfId="0" applyFill="1" applyBorder="1" applyAlignment="1">
      <alignment vertical="center" wrapText="1"/>
    </xf>
    <xf numFmtId="0" fontId="0" fillId="2" borderId="248" xfId="0" applyFill="1" applyBorder="1" applyAlignment="1">
      <alignment vertical="center" wrapText="1"/>
    </xf>
    <xf numFmtId="0" fontId="182" fillId="2" borderId="0" xfId="0" applyFont="1" applyFill="1" applyBorder="1" applyAlignment="1">
      <alignment vertical="center" wrapText="1"/>
    </xf>
    <xf numFmtId="0" fontId="183" fillId="2" borderId="0" xfId="0" applyFont="1" applyFill="1" applyBorder="1" applyAlignment="1">
      <alignment vertical="center" wrapText="1"/>
    </xf>
    <xf numFmtId="0" fontId="183" fillId="2" borderId="235" xfId="0" applyFont="1" applyFill="1" applyBorder="1" applyAlignment="1">
      <alignment vertical="center" wrapText="1"/>
    </xf>
    <xf numFmtId="0" fontId="18" fillId="0" borderId="192" xfId="0" applyFont="1" applyFill="1" applyBorder="1" applyAlignment="1">
      <alignment vertical="center" wrapText="1"/>
    </xf>
    <xf numFmtId="0" fontId="1" fillId="0" borderId="189" xfId="0" applyFont="1" applyFill="1" applyBorder="1" applyAlignment="1">
      <alignment vertical="center" wrapText="1"/>
    </xf>
    <xf numFmtId="0" fontId="0" fillId="0" borderId="275" xfId="0" applyFill="1" applyBorder="1" applyAlignment="1">
      <alignment vertical="center"/>
    </xf>
    <xf numFmtId="0" fontId="0" fillId="0" borderId="275" xfId="0" applyBorder="1" applyAlignment="1">
      <alignment vertical="center" wrapText="1"/>
    </xf>
    <xf numFmtId="0" fontId="182" fillId="0" borderId="192" xfId="0" applyFont="1" applyBorder="1" applyAlignment="1">
      <alignment vertical="center" wrapText="1"/>
    </xf>
    <xf numFmtId="0" fontId="183" fillId="0" borderId="0" xfId="0" applyFont="1" applyBorder="1" applyAlignment="1">
      <alignment vertical="center" wrapText="1"/>
    </xf>
    <xf numFmtId="0" fontId="183" fillId="0" borderId="235" xfId="0" applyFont="1" applyBorder="1" applyAlignment="1">
      <alignment vertical="center" wrapText="1"/>
    </xf>
    <xf numFmtId="0" fontId="182" fillId="2" borderId="192" xfId="0" applyFont="1" applyFill="1" applyBorder="1" applyAlignment="1">
      <alignment vertical="center" wrapText="1"/>
    </xf>
    <xf numFmtId="0" fontId="182" fillId="2" borderId="197" xfId="0" applyFont="1" applyFill="1" applyBorder="1" applyAlignment="1">
      <alignment vertical="center" wrapText="1"/>
    </xf>
    <xf numFmtId="0" fontId="183" fillId="2" borderId="189" xfId="0" applyFont="1" applyFill="1" applyBorder="1" applyAlignment="1">
      <alignment vertical="center" wrapText="1"/>
    </xf>
    <xf numFmtId="0" fontId="183" fillId="2" borderId="248" xfId="0" applyFont="1" applyFill="1" applyBorder="1" applyAlignment="1">
      <alignment vertical="center" wrapText="1"/>
    </xf>
    <xf numFmtId="0" fontId="0" fillId="3" borderId="146" xfId="0" applyFill="1" applyBorder="1" applyAlignment="1">
      <alignment vertical="center"/>
    </xf>
    <xf numFmtId="0" fontId="1" fillId="0" borderId="0" xfId="0" applyFont="1" applyFill="1" applyBorder="1" applyAlignment="1">
      <alignment vertical="center" wrapText="1"/>
    </xf>
    <xf numFmtId="0" fontId="0" fillId="0" borderId="145" xfId="0" applyFill="1" applyBorder="1" applyAlignment="1">
      <alignment vertical="center"/>
    </xf>
    <xf numFmtId="0" fontId="180" fillId="3" borderId="0" xfId="0" applyFont="1" applyFill="1" applyBorder="1" applyAlignment="1">
      <alignment vertical="center" wrapText="1"/>
    </xf>
    <xf numFmtId="0" fontId="180" fillId="3" borderId="235" xfId="0" applyFont="1" applyFill="1" applyBorder="1" applyAlignment="1">
      <alignment vertical="center" wrapText="1"/>
    </xf>
    <xf numFmtId="0" fontId="0" fillId="0" borderId="12" xfId="0" applyBorder="1" applyAlignment="1">
      <alignment horizontal="center"/>
    </xf>
    <xf numFmtId="0" fontId="0" fillId="0" borderId="87" xfId="0" applyBorder="1" applyAlignment="1">
      <alignment horizontal="center"/>
    </xf>
    <xf numFmtId="0" fontId="0" fillId="0" borderId="0" xfId="0" applyAlignment="1">
      <alignment horizontal="center"/>
    </xf>
    <xf numFmtId="0" fontId="53" fillId="0" borderId="9" xfId="0" applyFont="1" applyBorder="1" applyAlignment="1">
      <alignment horizontal="center" vertical="center"/>
    </xf>
    <xf numFmtId="0" fontId="53" fillId="0" borderId="0" xfId="0" applyFont="1" applyAlignment="1">
      <alignment horizontal="center" vertical="center"/>
    </xf>
    <xf numFmtId="0" fontId="53" fillId="2" borderId="0" xfId="0" applyFont="1" applyFill="1" applyAlignment="1">
      <alignment horizontal="center" vertical="center"/>
    </xf>
    <xf numFmtId="0" fontId="53" fillId="2" borderId="2" xfId="0" applyFont="1" applyFill="1" applyBorder="1" applyAlignment="1">
      <alignment horizontal="center" vertical="center"/>
    </xf>
    <xf numFmtId="0" fontId="53" fillId="0" borderId="12" xfId="0" applyFont="1" applyBorder="1" applyAlignment="1">
      <alignment horizontal="center" vertical="center"/>
    </xf>
    <xf numFmtId="0" fontId="53" fillId="0" borderId="87"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cellXfs>
  <cellStyles count="2">
    <cellStyle name="Гиперссылка" xfId="1" builtinId="8"/>
    <cellStyle name="Обычный"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C$39" noThreeD="1"/>
</file>

<file path=xl/ctrlProps/ctrlProp10.xml><?xml version="1.0" encoding="utf-8"?>
<formControlPr xmlns="http://schemas.microsoft.com/office/spreadsheetml/2009/9/main" objectType="CheckBox" fmlaLink="$G$37" lockText="1" noThreeD="1"/>
</file>

<file path=xl/ctrlProps/ctrlProp11.xml><?xml version="1.0" encoding="utf-8"?>
<formControlPr xmlns="http://schemas.microsoft.com/office/spreadsheetml/2009/9/main" objectType="CheckBox" fmlaLink="$E$38" lockText="1" noThreeD="1"/>
</file>

<file path=xl/ctrlProps/ctrlProp12.xml><?xml version="1.0" encoding="utf-8"?>
<formControlPr xmlns="http://schemas.microsoft.com/office/spreadsheetml/2009/9/main" objectType="CheckBox" fmlaLink="$G$38" lockText="1" noThreeD="1"/>
</file>

<file path=xl/ctrlProps/ctrlProp13.xml><?xml version="1.0" encoding="utf-8"?>
<formControlPr xmlns="http://schemas.microsoft.com/office/spreadsheetml/2009/9/main" objectType="CheckBox" fmlaLink="$I$49" lockText="1" noThreeD="1"/>
</file>

<file path=xl/ctrlProps/ctrlProp14.xml><?xml version="1.0" encoding="utf-8"?>
<formControlPr xmlns="http://schemas.microsoft.com/office/spreadsheetml/2009/9/main" objectType="CheckBox" fmlaLink="$C$36" noThreeD="1"/>
</file>

<file path=xl/ctrlProps/ctrlProp15.xml><?xml version="1.0" encoding="utf-8"?>
<formControlPr xmlns="http://schemas.microsoft.com/office/spreadsheetml/2009/9/main" objectType="CheckBox" fmlaLink="$E$36" noThreeD="1"/>
</file>

<file path=xl/ctrlProps/ctrlProp16.xml><?xml version="1.0" encoding="utf-8"?>
<formControlPr xmlns="http://schemas.microsoft.com/office/spreadsheetml/2009/9/main" objectType="CheckBox" fmlaLink="$G$36" noThreeD="1"/>
</file>

<file path=xl/ctrlProps/ctrlProp17.xml><?xml version="1.0" encoding="utf-8"?>
<formControlPr xmlns="http://schemas.microsoft.com/office/spreadsheetml/2009/9/main" objectType="CheckBox" fmlaLink="$C$44" noThreeD="1"/>
</file>

<file path=xl/ctrlProps/ctrlProp18.xml><?xml version="1.0" encoding="utf-8"?>
<formControlPr xmlns="http://schemas.microsoft.com/office/spreadsheetml/2009/9/main" objectType="CheckBox" fmlaLink="$C$43" noThreeD="1"/>
</file>

<file path=xl/ctrlProps/ctrlProp19.xml><?xml version="1.0" encoding="utf-8"?>
<formControlPr xmlns="http://schemas.microsoft.com/office/spreadsheetml/2009/9/main" objectType="CheckBox" fmlaLink="$E$43" noThreeD="1"/>
</file>

<file path=xl/ctrlProps/ctrlProp2.xml><?xml version="1.0" encoding="utf-8"?>
<formControlPr xmlns="http://schemas.microsoft.com/office/spreadsheetml/2009/9/main" objectType="Drop" dropStyle="combo" dx="16" fmlaLink="$C$33" fmlaRange="список_ЭБ1" val="0"/>
</file>

<file path=xl/ctrlProps/ctrlProp20.xml><?xml version="1.0" encoding="utf-8"?>
<formControlPr xmlns="http://schemas.microsoft.com/office/spreadsheetml/2009/9/main" objectType="CheckBox" fmlaLink="$E$44" noThreeD="1"/>
</file>

<file path=xl/ctrlProps/ctrlProp21.xml><?xml version="1.0" encoding="utf-8"?>
<formControlPr xmlns="http://schemas.microsoft.com/office/spreadsheetml/2009/9/main" objectType="CheckBox" fmlaLink="$G$44" noThreeD="1"/>
</file>

<file path=xl/ctrlProps/ctrlProp22.xml><?xml version="1.0" encoding="utf-8"?>
<formControlPr xmlns="http://schemas.microsoft.com/office/spreadsheetml/2009/9/main" objectType="CheckBox" fmlaLink="$G$43" noThreeD="1"/>
</file>

<file path=xl/ctrlProps/ctrlProp23.xml><?xml version="1.0" encoding="utf-8"?>
<formControlPr xmlns="http://schemas.microsoft.com/office/spreadsheetml/2009/9/main" objectType="Drop" dropStyle="combo" dx="16" fmlaLink="$D$40" fmlaRange="список_УПР1" sel="2" val="0"/>
</file>

<file path=xl/ctrlProps/ctrlProp24.xml><?xml version="1.0" encoding="utf-8"?>
<formControlPr xmlns="http://schemas.microsoft.com/office/spreadsheetml/2009/9/main" objectType="Drop" dropStyle="combo" dx="16" fmlaLink="$F$40" fmlaRange="список_УПР2" sel="2" val="0"/>
</file>

<file path=xl/ctrlProps/ctrlProp3.xml><?xml version="1.0" encoding="utf-8"?>
<formControlPr xmlns="http://schemas.microsoft.com/office/spreadsheetml/2009/9/main" objectType="Drop" dropStyle="combo" dx="16" fmlaLink="$E$33" fmlaRange="список_ЭБ3" val="0"/>
</file>

<file path=xl/ctrlProps/ctrlProp4.xml><?xml version="1.0" encoding="utf-8"?>
<formControlPr xmlns="http://schemas.microsoft.com/office/spreadsheetml/2009/9/main" objectType="Drop" dropStyle="combo" dx="16" fmlaLink="$G$33" fmlaRange="список_ЭБ2" val="0"/>
</file>

<file path=xl/ctrlProps/ctrlProp5.xml><?xml version="1.0" encoding="utf-8"?>
<formControlPr xmlns="http://schemas.microsoft.com/office/spreadsheetml/2009/9/main" objectType="CheckBox" fmlaLink="$E$39" noThreeD="1"/>
</file>

<file path=xl/ctrlProps/ctrlProp6.xml><?xml version="1.0" encoding="utf-8"?>
<formControlPr xmlns="http://schemas.microsoft.com/office/spreadsheetml/2009/9/main" objectType="CheckBox" fmlaLink="$G$39" noThreeD="1"/>
</file>

<file path=xl/ctrlProps/ctrlProp7.xml><?xml version="1.0" encoding="utf-8"?>
<formControlPr xmlns="http://schemas.microsoft.com/office/spreadsheetml/2009/9/main" objectType="CheckBox" fmlaLink="$C$37" noThreeD="1"/>
</file>

<file path=xl/ctrlProps/ctrlProp8.xml><?xml version="1.0" encoding="utf-8"?>
<formControlPr xmlns="http://schemas.microsoft.com/office/spreadsheetml/2009/9/main" objectType="CheckBox" fmlaLink="$C$38" noThreeD="1"/>
</file>

<file path=xl/ctrlProps/ctrlProp9.xml><?xml version="1.0" encoding="utf-8"?>
<formControlPr xmlns="http://schemas.microsoft.com/office/spreadsheetml/2009/9/main" objectType="CheckBox" fmlaLink="$E$37"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2.png"/><Relationship Id="rId12" Type="http://schemas.openxmlformats.org/officeDocument/2006/relationships/image" Target="../media/image36.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1.png"/><Relationship Id="rId11" Type="http://schemas.openxmlformats.org/officeDocument/2006/relationships/image" Target="../media/image35.png"/><Relationship Id="rId5" Type="http://schemas.openxmlformats.org/officeDocument/2006/relationships/image" Target="../media/image32.png"/><Relationship Id="rId10" Type="http://schemas.openxmlformats.org/officeDocument/2006/relationships/image" Target="../media/image34.png"/><Relationship Id="rId4" Type="http://schemas.openxmlformats.org/officeDocument/2006/relationships/image" Target="../media/image31.png"/><Relationship Id="rId9" Type="http://schemas.openxmlformats.org/officeDocument/2006/relationships/image" Target="../media/image33.png"/><Relationship Id="rId14"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6.png"/><Relationship Id="rId18" Type="http://schemas.openxmlformats.org/officeDocument/2006/relationships/image" Target="../media/image10.png"/><Relationship Id="rId3" Type="http://schemas.openxmlformats.org/officeDocument/2006/relationships/image" Target="../media/image30.png"/><Relationship Id="rId7" Type="http://schemas.openxmlformats.org/officeDocument/2006/relationships/image" Target="../media/image42.png"/><Relationship Id="rId12" Type="http://schemas.openxmlformats.org/officeDocument/2006/relationships/image" Target="../media/image46.png"/><Relationship Id="rId17" Type="http://schemas.openxmlformats.org/officeDocument/2006/relationships/image" Target="../media/image20.png"/><Relationship Id="rId2" Type="http://schemas.openxmlformats.org/officeDocument/2006/relationships/image" Target="../media/image38.png"/><Relationship Id="rId16" Type="http://schemas.openxmlformats.org/officeDocument/2006/relationships/image" Target="../media/image29.png"/><Relationship Id="rId20" Type="http://schemas.openxmlformats.org/officeDocument/2006/relationships/image" Target="../media/image48.jpeg"/><Relationship Id="rId1" Type="http://schemas.openxmlformats.org/officeDocument/2006/relationships/image" Target="../media/image37.png"/><Relationship Id="rId6" Type="http://schemas.openxmlformats.org/officeDocument/2006/relationships/image" Target="../media/image41.png"/><Relationship Id="rId11" Type="http://schemas.openxmlformats.org/officeDocument/2006/relationships/image" Target="../media/image45.png"/><Relationship Id="rId5" Type="http://schemas.openxmlformats.org/officeDocument/2006/relationships/image" Target="../media/image40.png"/><Relationship Id="rId15" Type="http://schemas.openxmlformats.org/officeDocument/2006/relationships/image" Target="../media/image47.png"/><Relationship Id="rId10" Type="http://schemas.openxmlformats.org/officeDocument/2006/relationships/image" Target="../media/image44.png"/><Relationship Id="rId19" Type="http://schemas.openxmlformats.org/officeDocument/2006/relationships/image" Target="../media/image18.jpeg"/><Relationship Id="rId4" Type="http://schemas.openxmlformats.org/officeDocument/2006/relationships/image" Target="../media/image39.png"/><Relationship Id="rId9" Type="http://schemas.openxmlformats.org/officeDocument/2006/relationships/image" Target="../media/image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49.png"/><Relationship Id="rId13" Type="http://schemas.openxmlformats.org/officeDocument/2006/relationships/image" Target="../media/image53.png"/><Relationship Id="rId18" Type="http://schemas.openxmlformats.org/officeDocument/2006/relationships/image" Target="../media/image13.png"/><Relationship Id="rId26" Type="http://schemas.openxmlformats.org/officeDocument/2006/relationships/image" Target="../media/image59.png"/><Relationship Id="rId3" Type="http://schemas.openxmlformats.org/officeDocument/2006/relationships/image" Target="../media/image6.png"/><Relationship Id="rId21" Type="http://schemas.openxmlformats.org/officeDocument/2006/relationships/image" Target="../media/image19.jpeg"/><Relationship Id="rId7" Type="http://schemas.openxmlformats.org/officeDocument/2006/relationships/image" Target="../media/image20.png"/><Relationship Id="rId12" Type="http://schemas.openxmlformats.org/officeDocument/2006/relationships/image" Target="../media/image10.png"/><Relationship Id="rId17" Type="http://schemas.openxmlformats.org/officeDocument/2006/relationships/image" Target="../media/image12.png"/><Relationship Id="rId25" Type="http://schemas.openxmlformats.org/officeDocument/2006/relationships/image" Target="../media/image26.png"/><Relationship Id="rId2" Type="http://schemas.openxmlformats.org/officeDocument/2006/relationships/image" Target="../media/image2.png"/><Relationship Id="rId16" Type="http://schemas.openxmlformats.org/officeDocument/2006/relationships/image" Target="../media/image11.jpeg"/><Relationship Id="rId20" Type="http://schemas.openxmlformats.org/officeDocument/2006/relationships/image" Target="../media/image18.jpeg"/><Relationship Id="rId29" Type="http://schemas.openxmlformats.org/officeDocument/2006/relationships/image" Target="../media/image62.png"/><Relationship Id="rId1" Type="http://schemas.openxmlformats.org/officeDocument/2006/relationships/image" Target="../media/image4.jpeg"/><Relationship Id="rId6" Type="http://schemas.openxmlformats.org/officeDocument/2006/relationships/image" Target="../media/image5.png"/><Relationship Id="rId11" Type="http://schemas.openxmlformats.org/officeDocument/2006/relationships/image" Target="../media/image52.png"/><Relationship Id="rId24" Type="http://schemas.openxmlformats.org/officeDocument/2006/relationships/image" Target="../media/image58.png"/><Relationship Id="rId5" Type="http://schemas.openxmlformats.org/officeDocument/2006/relationships/image" Target="../media/image3.png"/><Relationship Id="rId15" Type="http://schemas.openxmlformats.org/officeDocument/2006/relationships/image" Target="../media/image55.png"/><Relationship Id="rId23" Type="http://schemas.openxmlformats.org/officeDocument/2006/relationships/image" Target="../media/image57.png"/><Relationship Id="rId28" Type="http://schemas.openxmlformats.org/officeDocument/2006/relationships/image" Target="../media/image61.png"/><Relationship Id="rId10" Type="http://schemas.openxmlformats.org/officeDocument/2006/relationships/image" Target="../media/image51.png"/><Relationship Id="rId19" Type="http://schemas.openxmlformats.org/officeDocument/2006/relationships/image" Target="../media/image14.png"/><Relationship Id="rId4" Type="http://schemas.openxmlformats.org/officeDocument/2006/relationships/image" Target="../media/image7.png"/><Relationship Id="rId9" Type="http://schemas.openxmlformats.org/officeDocument/2006/relationships/image" Target="../media/image50.png"/><Relationship Id="rId14" Type="http://schemas.openxmlformats.org/officeDocument/2006/relationships/image" Target="../media/image54.png"/><Relationship Id="rId22" Type="http://schemas.openxmlformats.org/officeDocument/2006/relationships/image" Target="../media/image56.png"/><Relationship Id="rId27" Type="http://schemas.openxmlformats.org/officeDocument/2006/relationships/image" Target="../media/image60.png"/></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52.png"/><Relationship Id="rId3" Type="http://schemas.openxmlformats.org/officeDocument/2006/relationships/image" Target="../media/image33.png"/><Relationship Id="rId7" Type="http://schemas.openxmlformats.org/officeDocument/2006/relationships/image" Target="../media/image20.png"/><Relationship Id="rId12" Type="http://schemas.openxmlformats.org/officeDocument/2006/relationships/image" Target="../media/image50.png"/><Relationship Id="rId2" Type="http://schemas.openxmlformats.org/officeDocument/2006/relationships/image" Target="../media/image6.png"/><Relationship Id="rId16" Type="http://schemas.openxmlformats.org/officeDocument/2006/relationships/image" Target="../media/image19.jpeg"/><Relationship Id="rId1" Type="http://schemas.openxmlformats.org/officeDocument/2006/relationships/image" Target="../media/image2.png"/><Relationship Id="rId6" Type="http://schemas.openxmlformats.org/officeDocument/2006/relationships/image" Target="../media/image36.png"/><Relationship Id="rId11" Type="http://schemas.openxmlformats.org/officeDocument/2006/relationships/image" Target="../media/image29.png"/><Relationship Id="rId5" Type="http://schemas.openxmlformats.org/officeDocument/2006/relationships/image" Target="../media/image35.png"/><Relationship Id="rId15" Type="http://schemas.openxmlformats.org/officeDocument/2006/relationships/image" Target="../media/image64.png"/><Relationship Id="rId10" Type="http://schemas.openxmlformats.org/officeDocument/2006/relationships/image" Target="../media/image32.png"/><Relationship Id="rId4" Type="http://schemas.openxmlformats.org/officeDocument/2006/relationships/image" Target="../media/image34.png"/><Relationship Id="rId9" Type="http://schemas.openxmlformats.org/officeDocument/2006/relationships/image" Target="../media/image30.png"/><Relationship Id="rId14" Type="http://schemas.openxmlformats.org/officeDocument/2006/relationships/image" Target="../media/image63.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70.png"/><Relationship Id="rId3" Type="http://schemas.openxmlformats.org/officeDocument/2006/relationships/image" Target="../media/image2.png"/><Relationship Id="rId7" Type="http://schemas.openxmlformats.org/officeDocument/2006/relationships/image" Target="../media/image35.png"/><Relationship Id="rId12" Type="http://schemas.openxmlformats.org/officeDocument/2006/relationships/image" Target="../media/image69.png"/><Relationship Id="rId2" Type="http://schemas.openxmlformats.org/officeDocument/2006/relationships/image" Target="../media/image66.png"/><Relationship Id="rId16" Type="http://schemas.openxmlformats.org/officeDocument/2006/relationships/image" Target="../media/image19.jpeg"/><Relationship Id="rId1" Type="http://schemas.openxmlformats.org/officeDocument/2006/relationships/image" Target="../media/image65.png"/><Relationship Id="rId6" Type="http://schemas.openxmlformats.org/officeDocument/2006/relationships/image" Target="../media/image34.png"/><Relationship Id="rId11" Type="http://schemas.openxmlformats.org/officeDocument/2006/relationships/image" Target="../media/image68.png"/><Relationship Id="rId5" Type="http://schemas.openxmlformats.org/officeDocument/2006/relationships/image" Target="../media/image33.png"/><Relationship Id="rId15" Type="http://schemas.openxmlformats.org/officeDocument/2006/relationships/image" Target="../media/image72.png"/><Relationship Id="rId10" Type="http://schemas.openxmlformats.org/officeDocument/2006/relationships/image" Target="../media/image67.png"/><Relationship Id="rId4" Type="http://schemas.openxmlformats.org/officeDocument/2006/relationships/image" Target="../media/image6.png"/><Relationship Id="rId9" Type="http://schemas.openxmlformats.org/officeDocument/2006/relationships/image" Target="../media/image20.png"/><Relationship Id="rId14" Type="http://schemas.openxmlformats.org/officeDocument/2006/relationships/image" Target="../media/image71.png"/></Relationships>
</file>

<file path=xl/drawings/drawing1.xml><?xml version="1.0" encoding="utf-8"?>
<xdr:wsDr xmlns:xdr="http://schemas.openxmlformats.org/drawingml/2006/spreadsheetDrawing" xmlns:a="http://schemas.openxmlformats.org/drawingml/2006/main">
  <xdr:twoCellAnchor editAs="oneCell">
    <xdr:from>
      <xdr:col>2</xdr:col>
      <xdr:colOff>219075</xdr:colOff>
      <xdr:row>39</xdr:row>
      <xdr:rowOff>76200</xdr:rowOff>
    </xdr:from>
    <xdr:to>
      <xdr:col>2</xdr:col>
      <xdr:colOff>914400</xdr:colOff>
      <xdr:row>42</xdr:row>
      <xdr:rowOff>66675</xdr:rowOff>
    </xdr:to>
    <xdr:pic>
      <xdr:nvPicPr>
        <xdr:cNvPr id="175417" name="Picture 3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 y="8686800"/>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85725</xdr:colOff>
      <xdr:row>44</xdr:row>
      <xdr:rowOff>104775</xdr:rowOff>
    </xdr:from>
    <xdr:to>
      <xdr:col>3</xdr:col>
      <xdr:colOff>1047750</xdr:colOff>
      <xdr:row>47</xdr:row>
      <xdr:rowOff>114300</xdr:rowOff>
    </xdr:to>
    <xdr:pic>
      <xdr:nvPicPr>
        <xdr:cNvPr id="175418" name="Picture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9429750"/>
          <a:ext cx="962025"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66675</xdr:colOff>
      <xdr:row>45</xdr:row>
      <xdr:rowOff>9525</xdr:rowOff>
    </xdr:from>
    <xdr:to>
      <xdr:col>2</xdr:col>
      <xdr:colOff>1066800</xdr:colOff>
      <xdr:row>47</xdr:row>
      <xdr:rowOff>114300</xdr:rowOff>
    </xdr:to>
    <xdr:pic>
      <xdr:nvPicPr>
        <xdr:cNvPr id="175419"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2525" y="9477375"/>
          <a:ext cx="1000125"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1885950</xdr:colOff>
      <xdr:row>196</xdr:row>
      <xdr:rowOff>76200</xdr:rowOff>
    </xdr:from>
    <xdr:to>
      <xdr:col>10</xdr:col>
      <xdr:colOff>3095625</xdr:colOff>
      <xdr:row>199</xdr:row>
      <xdr:rowOff>114300</xdr:rowOff>
    </xdr:to>
    <xdr:pic>
      <xdr:nvPicPr>
        <xdr:cNvPr id="175420" name="Picture 49" descr="pp-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5006340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400050</xdr:colOff>
      <xdr:row>42</xdr:row>
      <xdr:rowOff>57150</xdr:rowOff>
    </xdr:from>
    <xdr:to>
      <xdr:col>2</xdr:col>
      <xdr:colOff>723900</xdr:colOff>
      <xdr:row>44</xdr:row>
      <xdr:rowOff>95250</xdr:rowOff>
    </xdr:to>
    <xdr:pic>
      <xdr:nvPicPr>
        <xdr:cNvPr id="175421" name="Picture 8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85900" y="909637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390525</xdr:colOff>
      <xdr:row>42</xdr:row>
      <xdr:rowOff>9525</xdr:rowOff>
    </xdr:from>
    <xdr:to>
      <xdr:col>7</xdr:col>
      <xdr:colOff>714375</xdr:colOff>
      <xdr:row>44</xdr:row>
      <xdr:rowOff>47625</xdr:rowOff>
    </xdr:to>
    <xdr:pic>
      <xdr:nvPicPr>
        <xdr:cNvPr id="175422" name="Picture 8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43750" y="904875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66675</xdr:colOff>
      <xdr:row>44</xdr:row>
      <xdr:rowOff>9525</xdr:rowOff>
    </xdr:from>
    <xdr:to>
      <xdr:col>5</xdr:col>
      <xdr:colOff>1047750</xdr:colOff>
      <xdr:row>48</xdr:row>
      <xdr:rowOff>85725</xdr:rowOff>
    </xdr:to>
    <xdr:pic>
      <xdr:nvPicPr>
        <xdr:cNvPr id="175423" name="Picture 1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52950" y="9334500"/>
          <a:ext cx="981075" cy="6477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76200</xdr:colOff>
      <xdr:row>44</xdr:row>
      <xdr:rowOff>57150</xdr:rowOff>
    </xdr:from>
    <xdr:to>
      <xdr:col>4</xdr:col>
      <xdr:colOff>1076325</xdr:colOff>
      <xdr:row>48</xdr:row>
      <xdr:rowOff>38100</xdr:rowOff>
    </xdr:to>
    <xdr:pic>
      <xdr:nvPicPr>
        <xdr:cNvPr id="175424" name="Picture 1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29000" y="9382125"/>
          <a:ext cx="1000125" cy="5524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371475</xdr:colOff>
      <xdr:row>42</xdr:row>
      <xdr:rowOff>38100</xdr:rowOff>
    </xdr:from>
    <xdr:to>
      <xdr:col>5</xdr:col>
      <xdr:colOff>704850</xdr:colOff>
      <xdr:row>44</xdr:row>
      <xdr:rowOff>76200</xdr:rowOff>
    </xdr:to>
    <xdr:pic>
      <xdr:nvPicPr>
        <xdr:cNvPr id="175425" name="Picture 8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0" y="9077325"/>
          <a:ext cx="333375"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381000</xdr:colOff>
      <xdr:row>42</xdr:row>
      <xdr:rowOff>28575</xdr:rowOff>
    </xdr:from>
    <xdr:to>
      <xdr:col>4</xdr:col>
      <xdr:colOff>704850</xdr:colOff>
      <xdr:row>44</xdr:row>
      <xdr:rowOff>66675</xdr:rowOff>
    </xdr:to>
    <xdr:pic>
      <xdr:nvPicPr>
        <xdr:cNvPr id="175426" name="Picture 8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33800" y="906780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390525</xdr:colOff>
      <xdr:row>42</xdr:row>
      <xdr:rowOff>76200</xdr:rowOff>
    </xdr:from>
    <xdr:to>
      <xdr:col>3</xdr:col>
      <xdr:colOff>714375</xdr:colOff>
      <xdr:row>44</xdr:row>
      <xdr:rowOff>114300</xdr:rowOff>
    </xdr:to>
    <xdr:pic>
      <xdr:nvPicPr>
        <xdr:cNvPr id="175427" name="Picture 8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09850" y="911542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152400</xdr:colOff>
      <xdr:row>39</xdr:row>
      <xdr:rowOff>95250</xdr:rowOff>
    </xdr:from>
    <xdr:to>
      <xdr:col>3</xdr:col>
      <xdr:colOff>847725</xdr:colOff>
      <xdr:row>42</xdr:row>
      <xdr:rowOff>85725</xdr:rowOff>
    </xdr:to>
    <xdr:pic>
      <xdr:nvPicPr>
        <xdr:cNvPr id="175428" name="Picture 3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1725" y="8705850"/>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190500</xdr:colOff>
      <xdr:row>39</xdr:row>
      <xdr:rowOff>76200</xdr:rowOff>
    </xdr:from>
    <xdr:to>
      <xdr:col>4</xdr:col>
      <xdr:colOff>885825</xdr:colOff>
      <xdr:row>42</xdr:row>
      <xdr:rowOff>66675</xdr:rowOff>
    </xdr:to>
    <xdr:pic>
      <xdr:nvPicPr>
        <xdr:cNvPr id="175429" name="Picture 3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3300" y="8686800"/>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123825</xdr:colOff>
      <xdr:row>46</xdr:row>
      <xdr:rowOff>66675</xdr:rowOff>
    </xdr:from>
    <xdr:to>
      <xdr:col>7</xdr:col>
      <xdr:colOff>1019175</xdr:colOff>
      <xdr:row>48</xdr:row>
      <xdr:rowOff>171450</xdr:rowOff>
    </xdr:to>
    <xdr:pic>
      <xdr:nvPicPr>
        <xdr:cNvPr id="175430" name="Picture 2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7050" y="9677400"/>
          <a:ext cx="895350"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38100</xdr:colOff>
      <xdr:row>43</xdr:row>
      <xdr:rowOff>123825</xdr:rowOff>
    </xdr:from>
    <xdr:to>
      <xdr:col>7</xdr:col>
      <xdr:colOff>933450</xdr:colOff>
      <xdr:row>46</xdr:row>
      <xdr:rowOff>85725</xdr:rowOff>
    </xdr:to>
    <xdr:pic>
      <xdr:nvPicPr>
        <xdr:cNvPr id="175431" name="Picture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1325" y="9305925"/>
          <a:ext cx="895350"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66675</xdr:colOff>
      <xdr:row>44</xdr:row>
      <xdr:rowOff>28575</xdr:rowOff>
    </xdr:from>
    <xdr:to>
      <xdr:col>6</xdr:col>
      <xdr:colOff>971550</xdr:colOff>
      <xdr:row>46</xdr:row>
      <xdr:rowOff>95250</xdr:rowOff>
    </xdr:to>
    <xdr:pic>
      <xdr:nvPicPr>
        <xdr:cNvPr id="175432"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86425" y="9353550"/>
          <a:ext cx="904875" cy="3524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152400</xdr:colOff>
      <xdr:row>46</xdr:row>
      <xdr:rowOff>104775</xdr:rowOff>
    </xdr:from>
    <xdr:to>
      <xdr:col>6</xdr:col>
      <xdr:colOff>1057275</xdr:colOff>
      <xdr:row>48</xdr:row>
      <xdr:rowOff>171450</xdr:rowOff>
    </xdr:to>
    <xdr:pic>
      <xdr:nvPicPr>
        <xdr:cNvPr id="175433" name="Picture 3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72150" y="9715500"/>
          <a:ext cx="904875" cy="3524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19050</xdr:colOff>
      <xdr:row>91</xdr:row>
      <xdr:rowOff>28575</xdr:rowOff>
    </xdr:from>
    <xdr:to>
      <xdr:col>3</xdr:col>
      <xdr:colOff>600075</xdr:colOff>
      <xdr:row>93</xdr:row>
      <xdr:rowOff>38100</xdr:rowOff>
    </xdr:to>
    <xdr:pic>
      <xdr:nvPicPr>
        <xdr:cNvPr id="175434" name="Picture 30" descr="pp-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38375" y="17945100"/>
          <a:ext cx="5810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91</xdr:row>
      <xdr:rowOff>57150</xdr:rowOff>
    </xdr:from>
    <xdr:to>
      <xdr:col>2</xdr:col>
      <xdr:colOff>752475</xdr:colOff>
      <xdr:row>94</xdr:row>
      <xdr:rowOff>47625</xdr:rowOff>
    </xdr:to>
    <xdr:pic>
      <xdr:nvPicPr>
        <xdr:cNvPr id="175435" name="Picture 3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0" y="17973675"/>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104775</xdr:colOff>
      <xdr:row>91</xdr:row>
      <xdr:rowOff>66675</xdr:rowOff>
    </xdr:from>
    <xdr:to>
      <xdr:col>4</xdr:col>
      <xdr:colOff>800100</xdr:colOff>
      <xdr:row>94</xdr:row>
      <xdr:rowOff>57150</xdr:rowOff>
    </xdr:to>
    <xdr:pic>
      <xdr:nvPicPr>
        <xdr:cNvPr id="175436" name="Picture 3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7575" y="17983200"/>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114300</xdr:colOff>
      <xdr:row>91</xdr:row>
      <xdr:rowOff>66675</xdr:rowOff>
    </xdr:from>
    <xdr:to>
      <xdr:col>6</xdr:col>
      <xdr:colOff>809625</xdr:colOff>
      <xdr:row>94</xdr:row>
      <xdr:rowOff>57150</xdr:rowOff>
    </xdr:to>
    <xdr:pic>
      <xdr:nvPicPr>
        <xdr:cNvPr id="175437" name="Picture 3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17983200"/>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704850</xdr:colOff>
      <xdr:row>90</xdr:row>
      <xdr:rowOff>9525</xdr:rowOff>
    </xdr:from>
    <xdr:to>
      <xdr:col>5</xdr:col>
      <xdr:colOff>1104900</xdr:colOff>
      <xdr:row>92</xdr:row>
      <xdr:rowOff>0</xdr:rowOff>
    </xdr:to>
    <xdr:pic>
      <xdr:nvPicPr>
        <xdr:cNvPr id="175438" name="Picture 31" descr="pp-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191125" y="17783175"/>
          <a:ext cx="4000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676275</xdr:colOff>
      <xdr:row>92</xdr:row>
      <xdr:rowOff>76200</xdr:rowOff>
    </xdr:from>
    <xdr:to>
      <xdr:col>5</xdr:col>
      <xdr:colOff>1076325</xdr:colOff>
      <xdr:row>94</xdr:row>
      <xdr:rowOff>66675</xdr:rowOff>
    </xdr:to>
    <xdr:pic>
      <xdr:nvPicPr>
        <xdr:cNvPr id="175439" name="Picture 31" descr="pp-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162550" y="18135600"/>
          <a:ext cx="4000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91</xdr:row>
      <xdr:rowOff>76200</xdr:rowOff>
    </xdr:from>
    <xdr:to>
      <xdr:col>2</xdr:col>
      <xdr:colOff>1123950</xdr:colOff>
      <xdr:row>93</xdr:row>
      <xdr:rowOff>114300</xdr:rowOff>
    </xdr:to>
    <xdr:pic>
      <xdr:nvPicPr>
        <xdr:cNvPr id="175440" name="Picture 8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85950" y="1799272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828675</xdr:colOff>
      <xdr:row>91</xdr:row>
      <xdr:rowOff>76200</xdr:rowOff>
    </xdr:from>
    <xdr:to>
      <xdr:col>5</xdr:col>
      <xdr:colOff>19050</xdr:colOff>
      <xdr:row>93</xdr:row>
      <xdr:rowOff>114300</xdr:rowOff>
    </xdr:to>
    <xdr:pic>
      <xdr:nvPicPr>
        <xdr:cNvPr id="175441" name="Picture 8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81475" y="1799272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838200</xdr:colOff>
      <xdr:row>91</xdr:row>
      <xdr:rowOff>66675</xdr:rowOff>
    </xdr:from>
    <xdr:to>
      <xdr:col>7</xdr:col>
      <xdr:colOff>28575</xdr:colOff>
      <xdr:row>93</xdr:row>
      <xdr:rowOff>104775</xdr:rowOff>
    </xdr:to>
    <xdr:pic>
      <xdr:nvPicPr>
        <xdr:cNvPr id="175442" name="Picture 8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57950" y="1798320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1190625</xdr:colOff>
      <xdr:row>92</xdr:row>
      <xdr:rowOff>47625</xdr:rowOff>
    </xdr:from>
    <xdr:to>
      <xdr:col>7</xdr:col>
      <xdr:colOff>600075</xdr:colOff>
      <xdr:row>94</xdr:row>
      <xdr:rowOff>76200</xdr:rowOff>
    </xdr:to>
    <xdr:pic>
      <xdr:nvPicPr>
        <xdr:cNvPr id="175443" name="Picture 30" descr="pp-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53225" y="18107025"/>
          <a:ext cx="6000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104775</xdr:colOff>
      <xdr:row>90</xdr:row>
      <xdr:rowOff>0</xdr:rowOff>
    </xdr:from>
    <xdr:to>
      <xdr:col>7</xdr:col>
      <xdr:colOff>666750</xdr:colOff>
      <xdr:row>92</xdr:row>
      <xdr:rowOff>28575</xdr:rowOff>
    </xdr:to>
    <xdr:pic>
      <xdr:nvPicPr>
        <xdr:cNvPr id="175444" name="Picture 30" descr="pp-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58000" y="17773650"/>
          <a:ext cx="5619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90</xdr:row>
      <xdr:rowOff>9525</xdr:rowOff>
    </xdr:from>
    <xdr:to>
      <xdr:col>5</xdr:col>
      <xdr:colOff>676275</xdr:colOff>
      <xdr:row>92</xdr:row>
      <xdr:rowOff>38100</xdr:rowOff>
    </xdr:to>
    <xdr:pic>
      <xdr:nvPicPr>
        <xdr:cNvPr id="175445" name="Picture 30" descr="pp-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52950" y="17783175"/>
          <a:ext cx="6096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647700</xdr:colOff>
      <xdr:row>92</xdr:row>
      <xdr:rowOff>57150</xdr:rowOff>
    </xdr:from>
    <xdr:to>
      <xdr:col>7</xdr:col>
      <xdr:colOff>1047750</xdr:colOff>
      <xdr:row>94</xdr:row>
      <xdr:rowOff>47625</xdr:rowOff>
    </xdr:to>
    <xdr:pic>
      <xdr:nvPicPr>
        <xdr:cNvPr id="175446" name="Picture 31" descr="pp-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00925" y="18116550"/>
          <a:ext cx="4000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438150</xdr:colOff>
      <xdr:row>41</xdr:row>
      <xdr:rowOff>133350</xdr:rowOff>
    </xdr:from>
    <xdr:to>
      <xdr:col>6</xdr:col>
      <xdr:colOff>762000</xdr:colOff>
      <xdr:row>44</xdr:row>
      <xdr:rowOff>28575</xdr:rowOff>
    </xdr:to>
    <xdr:pic>
      <xdr:nvPicPr>
        <xdr:cNvPr id="175447" name="Picture 8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57900" y="902970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76200</xdr:colOff>
      <xdr:row>44</xdr:row>
      <xdr:rowOff>38100</xdr:rowOff>
    </xdr:from>
    <xdr:to>
      <xdr:col>10</xdr:col>
      <xdr:colOff>857250</xdr:colOff>
      <xdr:row>48</xdr:row>
      <xdr:rowOff>142875</xdr:rowOff>
    </xdr:to>
    <xdr:pic>
      <xdr:nvPicPr>
        <xdr:cNvPr id="175448" name="Picture 9"/>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934575" y="9363075"/>
          <a:ext cx="7810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xdr:col>
      <xdr:colOff>581025</xdr:colOff>
      <xdr:row>92</xdr:row>
      <xdr:rowOff>95250</xdr:rowOff>
    </xdr:from>
    <xdr:to>
      <xdr:col>3</xdr:col>
      <xdr:colOff>981075</xdr:colOff>
      <xdr:row>94</xdr:row>
      <xdr:rowOff>85725</xdr:rowOff>
    </xdr:to>
    <xdr:pic>
      <xdr:nvPicPr>
        <xdr:cNvPr id="175449" name="Picture 31" descr="pp-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800350" y="18154650"/>
          <a:ext cx="4000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1181100</xdr:colOff>
      <xdr:row>92</xdr:row>
      <xdr:rowOff>76200</xdr:rowOff>
    </xdr:from>
    <xdr:to>
      <xdr:col>5</xdr:col>
      <xdr:colOff>600075</xdr:colOff>
      <xdr:row>94</xdr:row>
      <xdr:rowOff>104775</xdr:rowOff>
    </xdr:to>
    <xdr:pic>
      <xdr:nvPicPr>
        <xdr:cNvPr id="175450" name="Picture 30" descr="pp-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86275" y="18135600"/>
          <a:ext cx="6000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714375</xdr:colOff>
      <xdr:row>89</xdr:row>
      <xdr:rowOff>133350</xdr:rowOff>
    </xdr:from>
    <xdr:to>
      <xdr:col>7</xdr:col>
      <xdr:colOff>1114425</xdr:colOff>
      <xdr:row>91</xdr:row>
      <xdr:rowOff>123825</xdr:rowOff>
    </xdr:to>
    <xdr:pic>
      <xdr:nvPicPr>
        <xdr:cNvPr id="175451" name="Picture 31" descr="pp-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67600" y="17764125"/>
          <a:ext cx="4000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39</xdr:row>
      <xdr:rowOff>66675</xdr:rowOff>
    </xdr:from>
    <xdr:to>
      <xdr:col>5</xdr:col>
      <xdr:colOff>828675</xdr:colOff>
      <xdr:row>42</xdr:row>
      <xdr:rowOff>57150</xdr:rowOff>
    </xdr:to>
    <xdr:pic>
      <xdr:nvPicPr>
        <xdr:cNvPr id="175454" name="Picture 3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9625" y="8677275"/>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247650</xdr:colOff>
      <xdr:row>39</xdr:row>
      <xdr:rowOff>47625</xdr:rowOff>
    </xdr:from>
    <xdr:to>
      <xdr:col>6</xdr:col>
      <xdr:colOff>942975</xdr:colOff>
      <xdr:row>42</xdr:row>
      <xdr:rowOff>38100</xdr:rowOff>
    </xdr:to>
    <xdr:pic>
      <xdr:nvPicPr>
        <xdr:cNvPr id="175455" name="Picture 3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7400" y="8658225"/>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133350</xdr:colOff>
      <xdr:row>39</xdr:row>
      <xdr:rowOff>57150</xdr:rowOff>
    </xdr:from>
    <xdr:to>
      <xdr:col>7</xdr:col>
      <xdr:colOff>828675</xdr:colOff>
      <xdr:row>42</xdr:row>
      <xdr:rowOff>47625</xdr:rowOff>
    </xdr:to>
    <xdr:pic>
      <xdr:nvPicPr>
        <xdr:cNvPr id="175456" name="Picture 3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6575" y="8667750"/>
          <a:ext cx="6953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314325</xdr:colOff>
      <xdr:row>135</xdr:row>
      <xdr:rowOff>57150</xdr:rowOff>
    </xdr:from>
    <xdr:to>
      <xdr:col>10</xdr:col>
      <xdr:colOff>847725</xdr:colOff>
      <xdr:row>135</xdr:row>
      <xdr:rowOff>495300</xdr:rowOff>
    </xdr:to>
    <xdr:pic>
      <xdr:nvPicPr>
        <xdr:cNvPr id="175457" name="Picture 41" descr="GSM-mod-pric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72700" y="330517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137</xdr:row>
      <xdr:rowOff>57150</xdr:rowOff>
    </xdr:from>
    <xdr:to>
      <xdr:col>10</xdr:col>
      <xdr:colOff>847725</xdr:colOff>
      <xdr:row>137</xdr:row>
      <xdr:rowOff>495300</xdr:rowOff>
    </xdr:to>
    <xdr:pic>
      <xdr:nvPicPr>
        <xdr:cNvPr id="175458" name="Picture 41" descr="GSM-mod-pric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72700" y="341947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138</xdr:row>
      <xdr:rowOff>47625</xdr:rowOff>
    </xdr:from>
    <xdr:to>
      <xdr:col>10</xdr:col>
      <xdr:colOff>895350</xdr:colOff>
      <xdr:row>138</xdr:row>
      <xdr:rowOff>514350</xdr:rowOff>
    </xdr:to>
    <xdr:pic>
      <xdr:nvPicPr>
        <xdr:cNvPr id="175459" name="Picture 50" descr="&amp;Kcy;&amp;ocy;&amp;ncy;&amp;vcy;&amp;iecy;&amp;rcy;&amp;tcy;&amp;iecy;&amp;rcy; RS485-RS23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048875" y="34756725"/>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140</xdr:row>
      <xdr:rowOff>38100</xdr:rowOff>
    </xdr:from>
    <xdr:to>
      <xdr:col>10</xdr:col>
      <xdr:colOff>800100</xdr:colOff>
      <xdr:row>140</xdr:row>
      <xdr:rowOff>542925</xdr:rowOff>
    </xdr:to>
    <xdr:pic>
      <xdr:nvPicPr>
        <xdr:cNvPr id="175460" name="Picture 45" descr="pp-1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239375" y="35890200"/>
          <a:ext cx="4191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139</xdr:row>
      <xdr:rowOff>57150</xdr:rowOff>
    </xdr:from>
    <xdr:to>
      <xdr:col>10</xdr:col>
      <xdr:colOff>895350</xdr:colOff>
      <xdr:row>139</xdr:row>
      <xdr:rowOff>523875</xdr:rowOff>
    </xdr:to>
    <xdr:pic>
      <xdr:nvPicPr>
        <xdr:cNvPr id="175461" name="Picture 50" descr="&amp;Kcy;&amp;ocy;&amp;ncy;&amp;vcy;&amp;iecy;&amp;rcy;&amp;tcy;&amp;iecy;&amp;rcy; RS485-RS23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048875" y="3533775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141</xdr:row>
      <xdr:rowOff>28575</xdr:rowOff>
    </xdr:from>
    <xdr:to>
      <xdr:col>10</xdr:col>
      <xdr:colOff>857250</xdr:colOff>
      <xdr:row>141</xdr:row>
      <xdr:rowOff>552450</xdr:rowOff>
    </xdr:to>
    <xdr:pic>
      <xdr:nvPicPr>
        <xdr:cNvPr id="175462" name="Picture 4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239375" y="36452175"/>
          <a:ext cx="476250" cy="5238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438150</xdr:colOff>
      <xdr:row>20</xdr:row>
      <xdr:rowOff>38100</xdr:rowOff>
    </xdr:from>
    <xdr:to>
      <xdr:col>3</xdr:col>
      <xdr:colOff>733425</xdr:colOff>
      <xdr:row>30</xdr:row>
      <xdr:rowOff>0</xdr:rowOff>
    </xdr:to>
    <xdr:pic>
      <xdr:nvPicPr>
        <xdr:cNvPr id="175463" name="Picture 69" descr="US800_1x"/>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524000" y="4991100"/>
          <a:ext cx="14287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20</xdr:row>
      <xdr:rowOff>38100</xdr:rowOff>
    </xdr:from>
    <xdr:to>
      <xdr:col>5</xdr:col>
      <xdr:colOff>714375</xdr:colOff>
      <xdr:row>30</xdr:row>
      <xdr:rowOff>0</xdr:rowOff>
    </xdr:to>
    <xdr:pic>
      <xdr:nvPicPr>
        <xdr:cNvPr id="175464" name="Picture 70" descr="US800_3x"/>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771900" y="4991100"/>
          <a:ext cx="14287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438150</xdr:colOff>
      <xdr:row>20</xdr:row>
      <xdr:rowOff>38100</xdr:rowOff>
    </xdr:from>
    <xdr:to>
      <xdr:col>7</xdr:col>
      <xdr:colOff>733425</xdr:colOff>
      <xdr:row>30</xdr:row>
      <xdr:rowOff>0</xdr:rowOff>
    </xdr:to>
    <xdr:pic>
      <xdr:nvPicPr>
        <xdr:cNvPr id="175465" name="Picture 71" descr="US800_2x"/>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057900" y="4991100"/>
          <a:ext cx="14287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136</xdr:row>
      <xdr:rowOff>57150</xdr:rowOff>
    </xdr:from>
    <xdr:to>
      <xdr:col>10</xdr:col>
      <xdr:colOff>847725</xdr:colOff>
      <xdr:row>136</xdr:row>
      <xdr:rowOff>495300</xdr:rowOff>
    </xdr:to>
    <xdr:pic>
      <xdr:nvPicPr>
        <xdr:cNvPr id="175466" name="Picture 41" descr="GSM-mod-pric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72700" y="336232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136</xdr:row>
      <xdr:rowOff>57150</xdr:rowOff>
    </xdr:from>
    <xdr:to>
      <xdr:col>10</xdr:col>
      <xdr:colOff>847725</xdr:colOff>
      <xdr:row>136</xdr:row>
      <xdr:rowOff>495300</xdr:rowOff>
    </xdr:to>
    <xdr:pic>
      <xdr:nvPicPr>
        <xdr:cNvPr id="175467" name="Picture 41" descr="GSM-mod-pric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72700" y="336232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9525</xdr:colOff>
          <xdr:row>38</xdr:row>
          <xdr:rowOff>9525</xdr:rowOff>
        </xdr:from>
        <xdr:to>
          <xdr:col>3</xdr:col>
          <xdr:colOff>676275</xdr:colOff>
          <xdr:row>39</xdr:row>
          <xdr:rowOff>19050</xdr:rowOff>
        </xdr:to>
        <xdr:sp macro="" textlink="">
          <xdr:nvSpPr>
            <xdr:cNvPr id="111617" name="Check Box 1" hidden="1">
              <a:extLst>
                <a:ext uri="{63B3BB69-23CF-44E3-9099-C40C66FF867C}">
                  <a14:compatExt spid="_x0000_s111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ответные фланцы, по заказу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32</xdr:row>
          <xdr:rowOff>9525</xdr:rowOff>
        </xdr:from>
        <xdr:to>
          <xdr:col>3</xdr:col>
          <xdr:colOff>47625</xdr:colOff>
          <xdr:row>33</xdr:row>
          <xdr:rowOff>38100</xdr:rowOff>
        </xdr:to>
        <xdr:sp macro="" textlink="">
          <xdr:nvSpPr>
            <xdr:cNvPr id="111618" name="Drop Down 2" hidden="1">
              <a:extLst>
                <a:ext uri="{63B3BB69-23CF-44E3-9099-C40C66FF867C}">
                  <a14:compatExt spid="_x0000_s1116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32</xdr:row>
          <xdr:rowOff>9525</xdr:rowOff>
        </xdr:from>
        <xdr:to>
          <xdr:col>5</xdr:col>
          <xdr:colOff>47625</xdr:colOff>
          <xdr:row>33</xdr:row>
          <xdr:rowOff>38100</xdr:rowOff>
        </xdr:to>
        <xdr:sp macro="" textlink="">
          <xdr:nvSpPr>
            <xdr:cNvPr id="111619" name="Drop Down 3" hidden="1">
              <a:extLst>
                <a:ext uri="{63B3BB69-23CF-44E3-9099-C40C66FF867C}">
                  <a14:compatExt spid="_x0000_s1116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19050</xdr:rowOff>
        </xdr:from>
        <xdr:to>
          <xdr:col>7</xdr:col>
          <xdr:colOff>47625</xdr:colOff>
          <xdr:row>33</xdr:row>
          <xdr:rowOff>47625</xdr:rowOff>
        </xdr:to>
        <xdr:sp macro="" textlink="">
          <xdr:nvSpPr>
            <xdr:cNvPr id="111620" name="Drop Down 4" hidden="1">
              <a:extLst>
                <a:ext uri="{63B3BB69-23CF-44E3-9099-C40C66FF867C}">
                  <a14:compatExt spid="_x0000_s1116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0</xdr:rowOff>
        </xdr:from>
        <xdr:to>
          <xdr:col>5</xdr:col>
          <xdr:colOff>800100</xdr:colOff>
          <xdr:row>39</xdr:row>
          <xdr:rowOff>28575</xdr:rowOff>
        </xdr:to>
        <xdr:sp macro="" textlink="">
          <xdr:nvSpPr>
            <xdr:cNvPr id="111621" name="Check Box 5" hidden="1">
              <a:extLst>
                <a:ext uri="{63B3BB69-23CF-44E3-9099-C40C66FF867C}">
                  <a14:compatExt spid="_x0000_s1116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ответные фланцы, по заказу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38</xdr:row>
          <xdr:rowOff>0</xdr:rowOff>
        </xdr:from>
        <xdr:to>
          <xdr:col>7</xdr:col>
          <xdr:colOff>723900</xdr:colOff>
          <xdr:row>39</xdr:row>
          <xdr:rowOff>28575</xdr:rowOff>
        </xdr:to>
        <xdr:sp macro="" textlink="">
          <xdr:nvSpPr>
            <xdr:cNvPr id="111622" name="Check Box 6" hidden="1">
              <a:extLst>
                <a:ext uri="{63B3BB69-23CF-44E3-9099-C40C66FF867C}">
                  <a14:compatExt spid="_x0000_s1116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ответные фланцы, по заказу</a:t>
              </a:r>
            </a:p>
          </xdr:txBody>
        </xdr:sp>
        <xdr:clientData fLocksWithSheet="0"/>
      </xdr:twoCellAnchor>
    </mc:Choice>
    <mc:Fallback/>
  </mc:AlternateContent>
  <xdr:twoCellAnchor editAs="oneCell">
    <xdr:from>
      <xdr:col>11</xdr:col>
      <xdr:colOff>38100</xdr:colOff>
      <xdr:row>44</xdr:row>
      <xdr:rowOff>95250</xdr:rowOff>
    </xdr:from>
    <xdr:to>
      <xdr:col>11</xdr:col>
      <xdr:colOff>819150</xdr:colOff>
      <xdr:row>48</xdr:row>
      <xdr:rowOff>123825</xdr:rowOff>
    </xdr:to>
    <xdr:pic>
      <xdr:nvPicPr>
        <xdr:cNvPr id="175469" name="Picture 85" descr="http://www.vera-1.ru/upload/medialibrary/ddd/ddd634b9cc7500de396d244ae4abc324.jpe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868025" y="9420225"/>
          <a:ext cx="781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137</xdr:row>
      <xdr:rowOff>57150</xdr:rowOff>
    </xdr:from>
    <xdr:to>
      <xdr:col>10</xdr:col>
      <xdr:colOff>847725</xdr:colOff>
      <xdr:row>137</xdr:row>
      <xdr:rowOff>495300</xdr:rowOff>
    </xdr:to>
    <xdr:pic>
      <xdr:nvPicPr>
        <xdr:cNvPr id="175470" name="Picture 41" descr="GSM-mod-pric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72700" y="341947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136</xdr:row>
      <xdr:rowOff>57150</xdr:rowOff>
    </xdr:from>
    <xdr:to>
      <xdr:col>10</xdr:col>
      <xdr:colOff>847725</xdr:colOff>
      <xdr:row>136</xdr:row>
      <xdr:rowOff>495300</xdr:rowOff>
    </xdr:to>
    <xdr:pic>
      <xdr:nvPicPr>
        <xdr:cNvPr id="175471" name="Picture 41" descr="GSM-mod-pric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72700" y="336232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136</xdr:row>
      <xdr:rowOff>57150</xdr:rowOff>
    </xdr:from>
    <xdr:to>
      <xdr:col>10</xdr:col>
      <xdr:colOff>847725</xdr:colOff>
      <xdr:row>136</xdr:row>
      <xdr:rowOff>495300</xdr:rowOff>
    </xdr:to>
    <xdr:pic>
      <xdr:nvPicPr>
        <xdr:cNvPr id="175472" name="Picture 41" descr="GSM-mod-pric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72700" y="336232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136</xdr:row>
      <xdr:rowOff>57150</xdr:rowOff>
    </xdr:from>
    <xdr:to>
      <xdr:col>10</xdr:col>
      <xdr:colOff>847725</xdr:colOff>
      <xdr:row>136</xdr:row>
      <xdr:rowOff>495300</xdr:rowOff>
    </xdr:to>
    <xdr:pic>
      <xdr:nvPicPr>
        <xdr:cNvPr id="175473" name="Picture 41" descr="GSM-mod-pric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72700" y="336232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352425</xdr:colOff>
      <xdr:row>142</xdr:row>
      <xdr:rowOff>47625</xdr:rowOff>
    </xdr:from>
    <xdr:to>
      <xdr:col>10</xdr:col>
      <xdr:colOff>876300</xdr:colOff>
      <xdr:row>143</xdr:row>
      <xdr:rowOff>0</xdr:rowOff>
    </xdr:to>
    <xdr:pic>
      <xdr:nvPicPr>
        <xdr:cNvPr id="175474" name="Рисунок 77" descr="https://img.vseinstrumenti.ru/images/goods/540389/300x300/910656.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210800" y="370427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352425</xdr:colOff>
      <xdr:row>143</xdr:row>
      <xdr:rowOff>38100</xdr:rowOff>
    </xdr:from>
    <xdr:to>
      <xdr:col>10</xdr:col>
      <xdr:colOff>876300</xdr:colOff>
      <xdr:row>143</xdr:row>
      <xdr:rowOff>561975</xdr:rowOff>
    </xdr:to>
    <xdr:pic>
      <xdr:nvPicPr>
        <xdr:cNvPr id="175475" name="Рисунок 78" descr="https://img.vseinstrumenti.ru/images/goods/540389/300x300/910656.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210800" y="37604700"/>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971550</xdr:colOff>
      <xdr:row>102</xdr:row>
      <xdr:rowOff>76200</xdr:rowOff>
    </xdr:from>
    <xdr:to>
      <xdr:col>10</xdr:col>
      <xdr:colOff>876300</xdr:colOff>
      <xdr:row>102</xdr:row>
      <xdr:rowOff>371475</xdr:rowOff>
    </xdr:to>
    <xdr:pic>
      <xdr:nvPicPr>
        <xdr:cNvPr id="175476" name="Picture 32"/>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810750" y="19726275"/>
          <a:ext cx="923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990600</xdr:colOff>
      <xdr:row>103</xdr:row>
      <xdr:rowOff>114300</xdr:rowOff>
    </xdr:from>
    <xdr:to>
      <xdr:col>10</xdr:col>
      <xdr:colOff>895350</xdr:colOff>
      <xdr:row>103</xdr:row>
      <xdr:rowOff>409575</xdr:rowOff>
    </xdr:to>
    <xdr:pic>
      <xdr:nvPicPr>
        <xdr:cNvPr id="175477" name="Picture 32"/>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829800" y="20335875"/>
          <a:ext cx="923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0</xdr:colOff>
      <xdr:row>104</xdr:row>
      <xdr:rowOff>104775</xdr:rowOff>
    </xdr:from>
    <xdr:to>
      <xdr:col>10</xdr:col>
      <xdr:colOff>923925</xdr:colOff>
      <xdr:row>104</xdr:row>
      <xdr:rowOff>400050</xdr:rowOff>
    </xdr:to>
    <xdr:pic>
      <xdr:nvPicPr>
        <xdr:cNvPr id="175478" name="Picture 32"/>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858375" y="20897850"/>
          <a:ext cx="923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990600</xdr:colOff>
      <xdr:row>104</xdr:row>
      <xdr:rowOff>114300</xdr:rowOff>
    </xdr:from>
    <xdr:to>
      <xdr:col>10</xdr:col>
      <xdr:colOff>895350</xdr:colOff>
      <xdr:row>104</xdr:row>
      <xdr:rowOff>409575</xdr:rowOff>
    </xdr:to>
    <xdr:pic>
      <xdr:nvPicPr>
        <xdr:cNvPr id="175479" name="Picture 32"/>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829800" y="20907375"/>
          <a:ext cx="923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9525</xdr:colOff>
          <xdr:row>36</xdr:row>
          <xdr:rowOff>0</xdr:rowOff>
        </xdr:from>
        <xdr:to>
          <xdr:col>3</xdr:col>
          <xdr:colOff>933450</xdr:colOff>
          <xdr:row>37</xdr:row>
          <xdr:rowOff>19050</xdr:rowOff>
        </xdr:to>
        <xdr:sp macro="" textlink="">
          <xdr:nvSpPr>
            <xdr:cNvPr id="111695" name="Check Box 79" hidden="1">
              <a:extLst>
                <a:ext uri="{63B3BB69-23CF-44E3-9099-C40C66FF867C}">
                  <a14:compatExt spid="_x0000_s1116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опц. ПМЗ/</a:t>
              </a:r>
              <a:r>
                <a:rPr lang="en-US" sz="800" b="0" i="0" u="none" strike="noStrike" baseline="0">
                  <a:solidFill>
                    <a:srgbClr val="000000"/>
                  </a:solidFill>
                  <a:latin typeface="Segoe UI"/>
                  <a:cs typeface="Segoe UI"/>
                </a:rPr>
                <a:t>DIF, </a:t>
              </a:r>
              <a:r>
                <a:rPr lang="ru-RU" sz="800" b="0" i="0" u="none" strike="noStrike" baseline="0">
                  <a:solidFill>
                    <a:srgbClr val="000000"/>
                  </a:solidFill>
                  <a:latin typeface="Segoe UI"/>
                  <a:cs typeface="Segoe UI"/>
                </a:rPr>
                <a:t>по заказу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0</xdr:rowOff>
        </xdr:from>
        <xdr:to>
          <xdr:col>3</xdr:col>
          <xdr:colOff>228600</xdr:colOff>
          <xdr:row>38</xdr:row>
          <xdr:rowOff>28575</xdr:rowOff>
        </xdr:to>
        <xdr:sp macro="" textlink="">
          <xdr:nvSpPr>
            <xdr:cNvPr id="111697" name="Check Box 81" hidden="1">
              <a:extLst>
                <a:ext uri="{63B3BB69-23CF-44E3-9099-C40C66FF867C}">
                  <a14:compatExt spid="_x0000_s1116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опция </a:t>
              </a:r>
              <a:r>
                <a:rPr lang="en-US" sz="800" b="0" i="0" u="none" strike="noStrike" baseline="0">
                  <a:solidFill>
                    <a:srgbClr val="000000"/>
                  </a:solidFill>
                  <a:latin typeface="Segoe UI"/>
                  <a:cs typeface="Segoe UI"/>
                </a:rPr>
                <a:t>IP68, </a:t>
              </a:r>
              <a:r>
                <a:rPr lang="ru-RU" sz="800" b="0" i="0" u="none" strike="noStrike" baseline="0">
                  <a:solidFill>
                    <a:srgbClr val="000000"/>
                  </a:solidFill>
                  <a:latin typeface="Segoe UI"/>
                  <a:cs typeface="Segoe UI"/>
                </a:rPr>
                <a:t>по заказу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180975</xdr:rowOff>
        </xdr:from>
        <xdr:to>
          <xdr:col>5</xdr:col>
          <xdr:colOff>809625</xdr:colOff>
          <xdr:row>37</xdr:row>
          <xdr:rowOff>47625</xdr:rowOff>
        </xdr:to>
        <xdr:sp macro="" textlink="">
          <xdr:nvSpPr>
            <xdr:cNvPr id="111983" name="Check Box 367" hidden="1">
              <a:extLst>
                <a:ext uri="{63B3BB69-23CF-44E3-9099-C40C66FF867C}">
                  <a14:compatExt spid="_x0000_s1119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опц. ПМЗ/</a:t>
              </a:r>
              <a:r>
                <a:rPr lang="en-US" sz="800" b="0" i="0" u="none" strike="noStrike" baseline="0">
                  <a:solidFill>
                    <a:srgbClr val="000000"/>
                  </a:solidFill>
                  <a:latin typeface="Segoe UI"/>
                  <a:cs typeface="Segoe UI"/>
                </a:rPr>
                <a:t>DIF,</a:t>
              </a:r>
              <a:r>
                <a:rPr lang="ru-RU" sz="800" b="0" i="0" u="none" strike="noStrike" baseline="0">
                  <a:solidFill>
                    <a:srgbClr val="000000"/>
                  </a:solidFill>
                  <a:latin typeface="Segoe UI"/>
                  <a:cs typeface="Segoe UI"/>
                </a:rPr>
                <a:t>по заказу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35</xdr:row>
          <xdr:rowOff>180975</xdr:rowOff>
        </xdr:from>
        <xdr:to>
          <xdr:col>7</xdr:col>
          <xdr:colOff>885825</xdr:colOff>
          <xdr:row>37</xdr:row>
          <xdr:rowOff>57150</xdr:rowOff>
        </xdr:to>
        <xdr:sp macro="" textlink="">
          <xdr:nvSpPr>
            <xdr:cNvPr id="111984" name="Check Box 368" hidden="1">
              <a:extLst>
                <a:ext uri="{63B3BB69-23CF-44E3-9099-C40C66FF867C}">
                  <a14:compatExt spid="_x0000_s1119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опц. ПМЗ/</a:t>
              </a:r>
              <a:r>
                <a:rPr lang="en-US" sz="800" b="0" i="0" u="none" strike="noStrike" baseline="0">
                  <a:solidFill>
                    <a:srgbClr val="000000"/>
                  </a:solidFill>
                  <a:latin typeface="Segoe UI"/>
                  <a:cs typeface="Segoe UI"/>
                </a:rPr>
                <a:t>DIF, </a:t>
              </a:r>
              <a:r>
                <a:rPr lang="ru-RU" sz="800" b="0" i="0" u="none" strike="noStrike" baseline="0">
                  <a:solidFill>
                    <a:srgbClr val="000000"/>
                  </a:solidFill>
                  <a:latin typeface="Segoe UI"/>
                  <a:cs typeface="Segoe UI"/>
                </a:rPr>
                <a:t>по заказу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9525</xdr:rowOff>
        </xdr:from>
        <xdr:to>
          <xdr:col>5</xdr:col>
          <xdr:colOff>762000</xdr:colOff>
          <xdr:row>38</xdr:row>
          <xdr:rowOff>19050</xdr:rowOff>
        </xdr:to>
        <xdr:sp macro="" textlink="">
          <xdr:nvSpPr>
            <xdr:cNvPr id="111985" name="Check Box 369" hidden="1">
              <a:extLst>
                <a:ext uri="{63B3BB69-23CF-44E3-9099-C40C66FF867C}">
                  <a14:compatExt spid="_x0000_s1119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опция </a:t>
              </a:r>
              <a:r>
                <a:rPr lang="en-US" sz="800" b="0" i="0" u="none" strike="noStrike" baseline="0">
                  <a:solidFill>
                    <a:srgbClr val="000000"/>
                  </a:solidFill>
                  <a:latin typeface="Segoe UI"/>
                  <a:cs typeface="Segoe UI"/>
                </a:rPr>
                <a:t>IP68, </a:t>
              </a:r>
              <a:r>
                <a:rPr lang="ru-RU" sz="800" b="0" i="0" u="none" strike="noStrike" baseline="0">
                  <a:solidFill>
                    <a:srgbClr val="000000"/>
                  </a:solidFill>
                  <a:latin typeface="Segoe UI"/>
                  <a:cs typeface="Segoe UI"/>
                </a:rPr>
                <a:t>по заказу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37</xdr:row>
          <xdr:rowOff>0</xdr:rowOff>
        </xdr:from>
        <xdr:to>
          <xdr:col>7</xdr:col>
          <xdr:colOff>866775</xdr:colOff>
          <xdr:row>38</xdr:row>
          <xdr:rowOff>28575</xdr:rowOff>
        </xdr:to>
        <xdr:sp macro="" textlink="">
          <xdr:nvSpPr>
            <xdr:cNvPr id="111986" name="Check Box 370" hidden="1">
              <a:extLst>
                <a:ext uri="{63B3BB69-23CF-44E3-9099-C40C66FF867C}">
                  <a14:compatExt spid="_x0000_s1119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опция </a:t>
              </a:r>
              <a:r>
                <a:rPr lang="en-US" sz="800" b="0" i="0" u="none" strike="noStrike" baseline="0">
                  <a:solidFill>
                    <a:srgbClr val="000000"/>
                  </a:solidFill>
                  <a:latin typeface="Segoe UI"/>
                  <a:cs typeface="Segoe UI"/>
                </a:rPr>
                <a:t>IP68, </a:t>
              </a:r>
              <a:r>
                <a:rPr lang="ru-RU" sz="800" b="0" i="0" u="none" strike="noStrike" baseline="0">
                  <a:solidFill>
                    <a:srgbClr val="000000"/>
                  </a:solidFill>
                  <a:latin typeface="Segoe UI"/>
                  <a:cs typeface="Segoe UI"/>
                </a:rPr>
                <a:t>по заказу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104775</xdr:rowOff>
        </xdr:from>
        <xdr:to>
          <xdr:col>9</xdr:col>
          <xdr:colOff>952500</xdr:colOff>
          <xdr:row>48</xdr:row>
          <xdr:rowOff>190500</xdr:rowOff>
        </xdr:to>
        <xdr:sp macro="" textlink="">
          <xdr:nvSpPr>
            <xdr:cNvPr id="112486" name="Check Box 870" hidden="1">
              <a:extLst>
                <a:ext uri="{63B3BB69-23CF-44E3-9099-C40C66FF867C}">
                  <a14:compatExt spid="_x0000_s1124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расчет цен на 2.5 МПа (25атм)</a:t>
              </a:r>
            </a:p>
          </xdr:txBody>
        </xdr:sp>
        <xdr:clientData/>
      </xdr:twoCellAnchor>
    </mc:Choice>
    <mc:Fallback/>
  </mc:AlternateContent>
  <xdr:twoCellAnchor editAs="oneCell">
    <xdr:from>
      <xdr:col>1</xdr:col>
      <xdr:colOff>66675</xdr:colOff>
      <xdr:row>149</xdr:row>
      <xdr:rowOff>95250</xdr:rowOff>
    </xdr:from>
    <xdr:to>
      <xdr:col>3</xdr:col>
      <xdr:colOff>800100</xdr:colOff>
      <xdr:row>161</xdr:row>
      <xdr:rowOff>47625</xdr:rowOff>
    </xdr:to>
    <xdr:pic>
      <xdr:nvPicPr>
        <xdr:cNvPr id="175480" name="Picture 115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1925" y="42405300"/>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1076325</xdr:colOff>
      <xdr:row>149</xdr:row>
      <xdr:rowOff>85725</xdr:rowOff>
    </xdr:from>
    <xdr:to>
      <xdr:col>6</xdr:col>
      <xdr:colOff>533400</xdr:colOff>
      <xdr:row>161</xdr:row>
      <xdr:rowOff>38100</xdr:rowOff>
    </xdr:to>
    <xdr:pic>
      <xdr:nvPicPr>
        <xdr:cNvPr id="175481" name="Picture 116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295650" y="42395775"/>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733425</xdr:colOff>
      <xdr:row>149</xdr:row>
      <xdr:rowOff>76200</xdr:rowOff>
    </xdr:from>
    <xdr:to>
      <xdr:col>9</xdr:col>
      <xdr:colOff>371475</xdr:colOff>
      <xdr:row>161</xdr:row>
      <xdr:rowOff>28575</xdr:rowOff>
    </xdr:to>
    <xdr:pic>
      <xdr:nvPicPr>
        <xdr:cNvPr id="175482" name="Picture 116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353175" y="42386250"/>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161</xdr:row>
      <xdr:rowOff>142875</xdr:rowOff>
    </xdr:from>
    <xdr:to>
      <xdr:col>3</xdr:col>
      <xdr:colOff>800100</xdr:colOff>
      <xdr:row>173</xdr:row>
      <xdr:rowOff>95250</xdr:rowOff>
    </xdr:to>
    <xdr:pic>
      <xdr:nvPicPr>
        <xdr:cNvPr id="175483" name="Picture 1164"/>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61925" y="44396025"/>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1085850</xdr:colOff>
      <xdr:row>161</xdr:row>
      <xdr:rowOff>152400</xdr:rowOff>
    </xdr:from>
    <xdr:to>
      <xdr:col>6</xdr:col>
      <xdr:colOff>542925</xdr:colOff>
      <xdr:row>173</xdr:row>
      <xdr:rowOff>104775</xdr:rowOff>
    </xdr:to>
    <xdr:pic>
      <xdr:nvPicPr>
        <xdr:cNvPr id="175484" name="Picture 116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305175" y="44405550"/>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723900</xdr:colOff>
      <xdr:row>161</xdr:row>
      <xdr:rowOff>123825</xdr:rowOff>
    </xdr:from>
    <xdr:to>
      <xdr:col>9</xdr:col>
      <xdr:colOff>361950</xdr:colOff>
      <xdr:row>173</xdr:row>
      <xdr:rowOff>76200</xdr:rowOff>
    </xdr:to>
    <xdr:pic>
      <xdr:nvPicPr>
        <xdr:cNvPr id="175485" name="Picture 116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343650" y="44376975"/>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647700</xdr:colOff>
      <xdr:row>149</xdr:row>
      <xdr:rowOff>95250</xdr:rowOff>
    </xdr:from>
    <xdr:to>
      <xdr:col>10</xdr:col>
      <xdr:colOff>885825</xdr:colOff>
      <xdr:row>161</xdr:row>
      <xdr:rowOff>47625</xdr:rowOff>
    </xdr:to>
    <xdr:pic>
      <xdr:nvPicPr>
        <xdr:cNvPr id="175486" name="Picture 1170"/>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486900" y="42405300"/>
          <a:ext cx="12573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647700</xdr:colOff>
      <xdr:row>161</xdr:row>
      <xdr:rowOff>123825</xdr:rowOff>
    </xdr:from>
    <xdr:to>
      <xdr:col>10</xdr:col>
      <xdr:colOff>885825</xdr:colOff>
      <xdr:row>173</xdr:row>
      <xdr:rowOff>76200</xdr:rowOff>
    </xdr:to>
    <xdr:pic>
      <xdr:nvPicPr>
        <xdr:cNvPr id="175487" name="Picture 1172"/>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9486900" y="44376975"/>
          <a:ext cx="12573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9525</xdr:colOff>
          <xdr:row>35</xdr:row>
          <xdr:rowOff>0</xdr:rowOff>
        </xdr:from>
        <xdr:to>
          <xdr:col>3</xdr:col>
          <xdr:colOff>990600</xdr:colOff>
          <xdr:row>36</xdr:row>
          <xdr:rowOff>38100</xdr:rowOff>
        </xdr:to>
        <xdr:sp macro="" textlink="">
          <xdr:nvSpPr>
            <xdr:cNvPr id="131628" name="Check Box 4652" hidden="1">
              <a:extLst>
                <a:ext uri="{63B3BB69-23CF-44E3-9099-C40C66FF867C}">
                  <a14:compatExt spid="_x0000_s1316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опц.нестандартн.жидкость/</a:t>
              </a:r>
              <a:r>
                <a:rPr lang="en-US" sz="800" b="0" i="0" u="none" strike="noStrike" baseline="0">
                  <a:solidFill>
                    <a:srgbClr val="000000"/>
                  </a:solidFill>
                  <a:latin typeface="Segoe UI"/>
                  <a:cs typeface="Segoe UI"/>
                </a:rPr>
                <a:t>EF, </a:t>
              </a:r>
              <a:r>
                <a:rPr lang="ru-RU" sz="800" b="0" i="0" u="none" strike="noStrike" baseline="0">
                  <a:solidFill>
                    <a:srgbClr val="000000"/>
                  </a:solidFill>
                  <a:latin typeface="Segoe UI"/>
                  <a:cs typeface="Segoe UI"/>
                </a:rPr>
                <a:t>заказ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5</xdr:col>
          <xdr:colOff>1095375</xdr:colOff>
          <xdr:row>36</xdr:row>
          <xdr:rowOff>28575</xdr:rowOff>
        </xdr:to>
        <xdr:sp macro="" textlink="">
          <xdr:nvSpPr>
            <xdr:cNvPr id="131842" name="Check Box 4866" hidden="1">
              <a:extLst>
                <a:ext uri="{63B3BB69-23CF-44E3-9099-C40C66FF867C}">
                  <a14:compatExt spid="_x0000_s131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опц.нестандартн.жидкость/</a:t>
              </a:r>
              <a:r>
                <a:rPr lang="en-US" sz="800" b="0" i="0" u="none" strike="noStrike" baseline="0">
                  <a:solidFill>
                    <a:srgbClr val="000000"/>
                  </a:solidFill>
                  <a:latin typeface="Segoe UI"/>
                  <a:cs typeface="Segoe UI"/>
                </a:rPr>
                <a:t>EF, </a:t>
              </a:r>
              <a:r>
                <a:rPr lang="ru-RU" sz="800" b="0" i="0" u="none" strike="noStrike" baseline="0">
                  <a:solidFill>
                    <a:srgbClr val="000000"/>
                  </a:solidFill>
                  <a:latin typeface="Segoe UI"/>
                  <a:cs typeface="Segoe UI"/>
                </a:rPr>
                <a:t>заказ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35</xdr:row>
          <xdr:rowOff>9525</xdr:rowOff>
        </xdr:from>
        <xdr:to>
          <xdr:col>7</xdr:col>
          <xdr:colOff>1104900</xdr:colOff>
          <xdr:row>36</xdr:row>
          <xdr:rowOff>38100</xdr:rowOff>
        </xdr:to>
        <xdr:sp macro="" textlink="">
          <xdr:nvSpPr>
            <xdr:cNvPr id="131843" name="Check Box 4867" hidden="1">
              <a:extLst>
                <a:ext uri="{63B3BB69-23CF-44E3-9099-C40C66FF867C}">
                  <a14:compatExt spid="_x0000_s1318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опц.нестандартн.жидкость/</a:t>
              </a:r>
              <a:r>
                <a:rPr lang="en-US" sz="800" b="0" i="0" u="none" strike="noStrike" baseline="0">
                  <a:solidFill>
                    <a:srgbClr val="000000"/>
                  </a:solidFill>
                  <a:latin typeface="Segoe UI"/>
                  <a:cs typeface="Segoe UI"/>
                </a:rPr>
                <a:t>EF, </a:t>
              </a:r>
              <a:r>
                <a:rPr lang="ru-RU" sz="800" b="0" i="0" u="none" strike="noStrike" baseline="0">
                  <a:solidFill>
                    <a:srgbClr val="000000"/>
                  </a:solidFill>
                  <a:latin typeface="Segoe UI"/>
                  <a:cs typeface="Segoe UI"/>
                </a:rPr>
                <a:t>заказ</a:t>
              </a:r>
            </a:p>
          </xdr:txBody>
        </xdr:sp>
        <xdr:clientData/>
      </xdr:twoCellAnchor>
    </mc:Choice>
    <mc:Fallback/>
  </mc:AlternateContent>
  <xdr:twoCellAnchor editAs="oneCell">
    <xdr:from>
      <xdr:col>4</xdr:col>
      <xdr:colOff>19049</xdr:colOff>
      <xdr:row>1</xdr:row>
      <xdr:rowOff>12924</xdr:rowOff>
    </xdr:from>
    <xdr:to>
      <xdr:col>5</xdr:col>
      <xdr:colOff>704849</xdr:colOff>
      <xdr:row>1</xdr:row>
      <xdr:rowOff>1971675</xdr:rowOff>
    </xdr:to>
    <xdr:sp macro="" textlink="">
      <xdr:nvSpPr>
        <xdr:cNvPr id="87" name="TextBox 86"/>
        <xdr:cNvSpPr txBox="1">
          <a:spLocks noChangeArrowheads="1"/>
        </xdr:cNvSpPr>
      </xdr:nvSpPr>
      <xdr:spPr bwMode="auto">
        <a:xfrm flipH="1">
          <a:off x="3371849" y="336774"/>
          <a:ext cx="1819275" cy="1958751"/>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baseline="0">
              <a:effectLst/>
              <a:latin typeface="Arial" panose="020B0604020202020204" pitchFamily="34" charset="0"/>
              <a:ea typeface="+mn-ea"/>
              <a:cs typeface="Arial" panose="020B0604020202020204" pitchFamily="34" charset="0"/>
            </a:rPr>
            <a:t>К</a:t>
          </a:r>
          <a:r>
            <a:rPr lang="ru-RU" sz="900" b="0" i="0" baseline="0">
              <a:effectLst/>
              <a:latin typeface="Arial" panose="020B0604020202020204" pitchFamily="34" charset="0"/>
              <a:ea typeface="+mn-ea"/>
              <a:cs typeface="Arial" panose="020B0604020202020204" pitchFamily="34" charset="0"/>
            </a:rPr>
            <a:t>азань (843)206-01-48</a:t>
          </a:r>
          <a:endParaRPr lang="ru-RU" sz="9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алининград (4012)72-03-81 </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алуга (4842)92-23-67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емерово (3842)65-04-62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иров (8332)68-02-04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раснодар (861)203-40-90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расноярск (391)204-63-61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урск (4712)77-13-04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Л</a:t>
          </a:r>
          <a:r>
            <a:rPr lang="ru-RU" sz="900" b="0" i="0" u="none" strike="noStrike" baseline="0">
              <a:solidFill>
                <a:srgbClr val="000000"/>
              </a:solidFill>
              <a:latin typeface="Arial" panose="020B0604020202020204" pitchFamily="34" charset="0"/>
              <a:cs typeface="Arial" panose="020B0604020202020204" pitchFamily="34" charset="0"/>
            </a:rPr>
            <a:t>ипецк (4742)52-20-81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агнитогорск (3519)55-03-13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осква (495)268-04-70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урманск (8152)59-64-93</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азахстан (772) 734-952-31</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7</xdr:col>
      <xdr:colOff>781051</xdr:colOff>
      <xdr:row>1</xdr:row>
      <xdr:rowOff>0</xdr:rowOff>
    </xdr:from>
    <xdr:to>
      <xdr:col>9</xdr:col>
      <xdr:colOff>447675</xdr:colOff>
      <xdr:row>1</xdr:row>
      <xdr:rowOff>1821253</xdr:rowOff>
    </xdr:to>
    <xdr:sp macro="" textlink="">
      <xdr:nvSpPr>
        <xdr:cNvPr id="88" name="TextBox 87"/>
        <xdr:cNvSpPr txBox="1">
          <a:spLocks noChangeArrowheads="1"/>
        </xdr:cNvSpPr>
      </xdr:nvSpPr>
      <xdr:spPr bwMode="auto">
        <a:xfrm>
          <a:off x="7534276" y="323850"/>
          <a:ext cx="1752599" cy="1821253"/>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С</a:t>
          </a:r>
          <a:r>
            <a:rPr lang="ru-RU" sz="900" b="0" i="0" baseline="0">
              <a:effectLst/>
              <a:latin typeface="Arial" panose="020B0604020202020204" pitchFamily="34" charset="0"/>
              <a:ea typeface="+mn-ea"/>
              <a:cs typeface="Arial" panose="020B0604020202020204" pitchFamily="34" charset="0"/>
            </a:rPr>
            <a:t>аратов (845)249-38-78</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моленск (4812)29-41-54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очи (862)225-72-31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таврополь (8652)20-65-13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верь (4822)63-31-35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омск (3822)98-41-53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ула (4872)74-02-29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юмень (3452)66-21-18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льяновск (8422)24-23-59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фа (347)229-48-12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елябинск (351)202-03-61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ереповец (8202)49-02-64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Я</a:t>
          </a:r>
          <a:r>
            <a:rPr lang="ru-RU" sz="900" b="0" i="0" u="none" strike="noStrike" baseline="0">
              <a:solidFill>
                <a:srgbClr val="000000"/>
              </a:solidFill>
              <a:latin typeface="Arial" panose="020B0604020202020204" pitchFamily="34" charset="0"/>
              <a:cs typeface="Arial" panose="020B0604020202020204" pitchFamily="34" charset="0"/>
            </a:rPr>
            <a:t>рославль (4852)69-52-93</a:t>
          </a:r>
        </a:p>
      </xdr:txBody>
    </xdr:sp>
    <xdr:clientData/>
  </xdr:twoCellAnchor>
  <xdr:twoCellAnchor editAs="oneCell">
    <xdr:from>
      <xdr:col>5</xdr:col>
      <xdr:colOff>771525</xdr:colOff>
      <xdr:row>1</xdr:row>
      <xdr:rowOff>3402</xdr:rowOff>
    </xdr:from>
    <xdr:to>
      <xdr:col>7</xdr:col>
      <xdr:colOff>714375</xdr:colOff>
      <xdr:row>1</xdr:row>
      <xdr:rowOff>1996136</xdr:rowOff>
    </xdr:to>
    <xdr:sp macro="" textlink="">
      <xdr:nvSpPr>
        <xdr:cNvPr id="89" name="TextBox 88"/>
        <xdr:cNvSpPr txBox="1">
          <a:spLocks noChangeArrowheads="1"/>
        </xdr:cNvSpPr>
      </xdr:nvSpPr>
      <xdr:spPr bwMode="auto">
        <a:xfrm>
          <a:off x="5257800" y="327252"/>
          <a:ext cx="2209800" cy="1992734"/>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Н</a:t>
          </a:r>
          <a:r>
            <a:rPr lang="ru-RU" sz="900" b="0" i="0" baseline="0">
              <a:effectLst/>
              <a:latin typeface="Arial" panose="020B0604020202020204" pitchFamily="34" charset="0"/>
              <a:ea typeface="+mn-ea"/>
              <a:cs typeface="Arial" panose="020B0604020202020204" pitchFamily="34" charset="0"/>
            </a:rPr>
            <a:t>абережные Челны (8552)20-53-41</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ижний Новгород (831)429-08-12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овокузнецк (3843)20-46-81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овосибирск (383)227-86-73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рел (4862)44-53-42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ренбург (3532)37-68-04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енза (8412)22-31-16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ермь (342)205-81-47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остов-на-Дону (863)308-18-15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язань (4912)46-61-64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амара (846)206-03-16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анкт-Петербург (812)309-46-40</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Таджикистан (992) 427-82-92-69</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2</xdr:col>
      <xdr:colOff>476250</xdr:colOff>
      <xdr:row>1</xdr:row>
      <xdr:rowOff>22904</xdr:rowOff>
    </xdr:from>
    <xdr:to>
      <xdr:col>4</xdr:col>
      <xdr:colOff>47626</xdr:colOff>
      <xdr:row>1</xdr:row>
      <xdr:rowOff>2051866</xdr:rowOff>
    </xdr:to>
    <xdr:sp macro="" textlink="">
      <xdr:nvSpPr>
        <xdr:cNvPr id="90" name="TextBox 89"/>
        <xdr:cNvSpPr txBox="1">
          <a:spLocks noChangeArrowheads="1"/>
        </xdr:cNvSpPr>
      </xdr:nvSpPr>
      <xdr:spPr bwMode="auto">
        <a:xfrm>
          <a:off x="1562100" y="346754"/>
          <a:ext cx="1838326" cy="2028962"/>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рхангельск (8182)63-90-72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стана +7(7172)727-132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елгород (4722)40-23-64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рянск (4832)59-03-52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ладивосток (423)249-28-31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олгоград (844)278-03-48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ологда (8172)26-41-59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оронеж (473)204-51-73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Е</a:t>
          </a:r>
          <a:r>
            <a:rPr lang="ru-RU" sz="900" b="0" i="0" u="none" strike="noStrike" baseline="0">
              <a:solidFill>
                <a:srgbClr val="000000"/>
              </a:solidFill>
              <a:latin typeface="Arial" panose="020B0604020202020204" pitchFamily="34" charset="0"/>
              <a:cs typeface="Arial" panose="020B0604020202020204" pitchFamily="34" charset="0"/>
            </a:rPr>
            <a:t>катеринбург (343)384-55-89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ваново (4932)77-34-06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жевск (3412)26-03-58</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Иркутск (395) 279-98-46</a:t>
          </a:r>
        </a:p>
        <a:p>
          <a:pPr algn="l" rtl="0">
            <a:defRPr sz="1000"/>
          </a:pP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иргизия (996) 312-96-26-47</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676275</xdr:colOff>
      <xdr:row>32</xdr:row>
      <xdr:rowOff>152400</xdr:rowOff>
    </xdr:from>
    <xdr:to>
      <xdr:col>9</xdr:col>
      <xdr:colOff>819150</xdr:colOff>
      <xdr:row>35</xdr:row>
      <xdr:rowOff>19050</xdr:rowOff>
    </xdr:to>
    <xdr:pic>
      <xdr:nvPicPr>
        <xdr:cNvPr id="170636" name="Picture 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7162800"/>
          <a:ext cx="923925"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390525</xdr:colOff>
      <xdr:row>32</xdr:row>
      <xdr:rowOff>142875</xdr:rowOff>
    </xdr:from>
    <xdr:to>
      <xdr:col>6</xdr:col>
      <xdr:colOff>533400</xdr:colOff>
      <xdr:row>35</xdr:row>
      <xdr:rowOff>0</xdr:rowOff>
    </xdr:to>
    <xdr:pic>
      <xdr:nvPicPr>
        <xdr:cNvPr id="170637" name="Picture 9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7625" y="7153275"/>
          <a:ext cx="866775"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409575</xdr:colOff>
      <xdr:row>13</xdr:row>
      <xdr:rowOff>38100</xdr:rowOff>
    </xdr:from>
    <xdr:to>
      <xdr:col>7</xdr:col>
      <xdr:colOff>733425</xdr:colOff>
      <xdr:row>14</xdr:row>
      <xdr:rowOff>171450</xdr:rowOff>
    </xdr:to>
    <xdr:pic>
      <xdr:nvPicPr>
        <xdr:cNvPr id="170638" name="Picture 8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5425" y="354330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8</xdr:col>
      <xdr:colOff>57150</xdr:colOff>
      <xdr:row>13</xdr:row>
      <xdr:rowOff>28575</xdr:rowOff>
    </xdr:from>
    <xdr:to>
      <xdr:col>8</xdr:col>
      <xdr:colOff>657225</xdr:colOff>
      <xdr:row>14</xdr:row>
      <xdr:rowOff>133350</xdr:rowOff>
    </xdr:to>
    <xdr:pic>
      <xdr:nvPicPr>
        <xdr:cNvPr id="170639" name="Picture 9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76925" y="3533775"/>
          <a:ext cx="6000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381000</xdr:colOff>
      <xdr:row>13</xdr:row>
      <xdr:rowOff>47625</xdr:rowOff>
    </xdr:from>
    <xdr:to>
      <xdr:col>7</xdr:col>
      <xdr:colOff>209550</xdr:colOff>
      <xdr:row>14</xdr:row>
      <xdr:rowOff>171450</xdr:rowOff>
    </xdr:to>
    <xdr:pic>
      <xdr:nvPicPr>
        <xdr:cNvPr id="170640" name="Picture 9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72000" y="3552825"/>
          <a:ext cx="533400" cy="314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809625</xdr:colOff>
      <xdr:row>13</xdr:row>
      <xdr:rowOff>38100</xdr:rowOff>
    </xdr:from>
    <xdr:to>
      <xdr:col>10</xdr:col>
      <xdr:colOff>466725</xdr:colOff>
      <xdr:row>14</xdr:row>
      <xdr:rowOff>152400</xdr:rowOff>
    </xdr:to>
    <xdr:pic>
      <xdr:nvPicPr>
        <xdr:cNvPr id="170641" name="Picture 28" descr="&amp;Kcy;&amp;acy;&amp;bcy;&amp;iecy;&amp;lcy;&amp;softcy; &amp;scy;&amp;ocy;&amp;iecy;&amp;dcy;&amp;icy;&amp;ncy;&amp;icy;&amp;tcy;&amp;iecy;&amp;lcy;&amp;softcy;&amp;ncy;&amp;ycy;&amp;jcy;"/>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0450" y="3543300"/>
          <a:ext cx="6000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13</xdr:row>
      <xdr:rowOff>28575</xdr:rowOff>
    </xdr:from>
    <xdr:to>
      <xdr:col>9</xdr:col>
      <xdr:colOff>352425</xdr:colOff>
      <xdr:row>14</xdr:row>
      <xdr:rowOff>161925</xdr:rowOff>
    </xdr:to>
    <xdr:pic>
      <xdr:nvPicPr>
        <xdr:cNvPr id="170642" name="Picture 8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29400" y="353377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400050</xdr:colOff>
      <xdr:row>17</xdr:row>
      <xdr:rowOff>28575</xdr:rowOff>
    </xdr:from>
    <xdr:to>
      <xdr:col>7</xdr:col>
      <xdr:colOff>723900</xdr:colOff>
      <xdr:row>18</xdr:row>
      <xdr:rowOff>161925</xdr:rowOff>
    </xdr:to>
    <xdr:pic>
      <xdr:nvPicPr>
        <xdr:cNvPr id="170643" name="Picture 8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5900" y="429577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371475</xdr:colOff>
      <xdr:row>17</xdr:row>
      <xdr:rowOff>28575</xdr:rowOff>
    </xdr:from>
    <xdr:to>
      <xdr:col>7</xdr:col>
      <xdr:colOff>200025</xdr:colOff>
      <xdr:row>18</xdr:row>
      <xdr:rowOff>152400</xdr:rowOff>
    </xdr:to>
    <xdr:pic>
      <xdr:nvPicPr>
        <xdr:cNvPr id="170644" name="Picture 9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62475" y="4295775"/>
          <a:ext cx="533400" cy="314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819150</xdr:colOff>
      <xdr:row>17</xdr:row>
      <xdr:rowOff>38100</xdr:rowOff>
    </xdr:from>
    <xdr:to>
      <xdr:col>8</xdr:col>
      <xdr:colOff>495300</xdr:colOff>
      <xdr:row>18</xdr:row>
      <xdr:rowOff>142875</xdr:rowOff>
    </xdr:to>
    <xdr:pic>
      <xdr:nvPicPr>
        <xdr:cNvPr id="170645" name="Picture 9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4305300"/>
          <a:ext cx="6000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8</xdr:col>
      <xdr:colOff>552450</xdr:colOff>
      <xdr:row>17</xdr:row>
      <xdr:rowOff>47625</xdr:rowOff>
    </xdr:from>
    <xdr:to>
      <xdr:col>9</xdr:col>
      <xdr:colOff>371475</xdr:colOff>
      <xdr:row>18</xdr:row>
      <xdr:rowOff>152400</xdr:rowOff>
    </xdr:to>
    <xdr:pic>
      <xdr:nvPicPr>
        <xdr:cNvPr id="170646" name="Picture 9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72225" y="4314825"/>
          <a:ext cx="6000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847725</xdr:colOff>
      <xdr:row>17</xdr:row>
      <xdr:rowOff>38100</xdr:rowOff>
    </xdr:from>
    <xdr:to>
      <xdr:col>10</xdr:col>
      <xdr:colOff>504825</xdr:colOff>
      <xdr:row>18</xdr:row>
      <xdr:rowOff>152400</xdr:rowOff>
    </xdr:to>
    <xdr:pic>
      <xdr:nvPicPr>
        <xdr:cNvPr id="170647" name="Picture 34" descr="&amp;Kcy;&amp;acy;&amp;bcy;&amp;iecy;&amp;lcy;&amp;softcy; &amp;scy;&amp;ocy;&amp;iecy;&amp;dcy;&amp;icy;&amp;ncy;&amp;icy;&amp;tcy;&amp;iecy;&amp;lcy;&amp;softcy;&amp;ncy;&amp;ycy;&amp;jcy;"/>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48550" y="4305300"/>
          <a:ext cx="6000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17</xdr:row>
      <xdr:rowOff>38100</xdr:rowOff>
    </xdr:from>
    <xdr:to>
      <xdr:col>9</xdr:col>
      <xdr:colOff>771525</xdr:colOff>
      <xdr:row>18</xdr:row>
      <xdr:rowOff>171450</xdr:rowOff>
    </xdr:to>
    <xdr:pic>
      <xdr:nvPicPr>
        <xdr:cNvPr id="170648" name="Picture 8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430530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390525</xdr:colOff>
      <xdr:row>15</xdr:row>
      <xdr:rowOff>38100</xdr:rowOff>
    </xdr:from>
    <xdr:to>
      <xdr:col>7</xdr:col>
      <xdr:colOff>714375</xdr:colOff>
      <xdr:row>16</xdr:row>
      <xdr:rowOff>171450</xdr:rowOff>
    </xdr:to>
    <xdr:pic>
      <xdr:nvPicPr>
        <xdr:cNvPr id="170649" name="Picture 8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392430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361950</xdr:colOff>
      <xdr:row>15</xdr:row>
      <xdr:rowOff>38100</xdr:rowOff>
    </xdr:from>
    <xdr:to>
      <xdr:col>7</xdr:col>
      <xdr:colOff>190500</xdr:colOff>
      <xdr:row>16</xdr:row>
      <xdr:rowOff>161925</xdr:rowOff>
    </xdr:to>
    <xdr:pic>
      <xdr:nvPicPr>
        <xdr:cNvPr id="170650" name="Picture 9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52950" y="3924300"/>
          <a:ext cx="533400" cy="314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8</xdr:col>
      <xdr:colOff>66675</xdr:colOff>
      <xdr:row>15</xdr:row>
      <xdr:rowOff>47625</xdr:rowOff>
    </xdr:from>
    <xdr:to>
      <xdr:col>8</xdr:col>
      <xdr:colOff>666750</xdr:colOff>
      <xdr:row>16</xdr:row>
      <xdr:rowOff>142875</xdr:rowOff>
    </xdr:to>
    <xdr:pic>
      <xdr:nvPicPr>
        <xdr:cNvPr id="170651" name="Picture 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3933825"/>
          <a:ext cx="60007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838200</xdr:colOff>
      <xdr:row>15</xdr:row>
      <xdr:rowOff>19050</xdr:rowOff>
    </xdr:from>
    <xdr:to>
      <xdr:col>10</xdr:col>
      <xdr:colOff>495300</xdr:colOff>
      <xdr:row>16</xdr:row>
      <xdr:rowOff>133350</xdr:rowOff>
    </xdr:to>
    <xdr:pic>
      <xdr:nvPicPr>
        <xdr:cNvPr id="170652" name="Picture 39" descr="&amp;Kcy;&amp;acy;&amp;bcy;&amp;iecy;&amp;lcy;&amp;softcy; &amp;scy;&amp;ocy;&amp;iecy;&amp;dcy;&amp;icy;&amp;ncy;&amp;icy;&amp;tcy;&amp;iecy;&amp;lcy;&amp;softcy;&amp;ncy;&amp;ycy;&amp;jcy;"/>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39025" y="3905250"/>
          <a:ext cx="6000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xdr:colOff>
      <xdr:row>15</xdr:row>
      <xdr:rowOff>28575</xdr:rowOff>
    </xdr:from>
    <xdr:to>
      <xdr:col>9</xdr:col>
      <xdr:colOff>381000</xdr:colOff>
      <xdr:row>16</xdr:row>
      <xdr:rowOff>161925</xdr:rowOff>
    </xdr:to>
    <xdr:pic>
      <xdr:nvPicPr>
        <xdr:cNvPr id="170653" name="Picture 8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7975" y="391477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209550</xdr:colOff>
      <xdr:row>26</xdr:row>
      <xdr:rowOff>104775</xdr:rowOff>
    </xdr:from>
    <xdr:to>
      <xdr:col>6</xdr:col>
      <xdr:colOff>485775</xdr:colOff>
      <xdr:row>29</xdr:row>
      <xdr:rowOff>142875</xdr:rowOff>
    </xdr:to>
    <xdr:pic>
      <xdr:nvPicPr>
        <xdr:cNvPr id="170654" name="Picture 3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76650" y="6029325"/>
          <a:ext cx="10001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647700</xdr:colOff>
      <xdr:row>26</xdr:row>
      <xdr:rowOff>95250</xdr:rowOff>
    </xdr:from>
    <xdr:to>
      <xdr:col>9</xdr:col>
      <xdr:colOff>819150</xdr:colOff>
      <xdr:row>29</xdr:row>
      <xdr:rowOff>104775</xdr:rowOff>
    </xdr:to>
    <xdr:pic>
      <xdr:nvPicPr>
        <xdr:cNvPr id="170655" name="Picture 31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67475" y="6019800"/>
          <a:ext cx="9525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762000</xdr:colOff>
      <xdr:row>26</xdr:row>
      <xdr:rowOff>85725</xdr:rowOff>
    </xdr:from>
    <xdr:to>
      <xdr:col>12</xdr:col>
      <xdr:colOff>600075</xdr:colOff>
      <xdr:row>29</xdr:row>
      <xdr:rowOff>95250</xdr:rowOff>
    </xdr:to>
    <xdr:pic>
      <xdr:nvPicPr>
        <xdr:cNvPr id="170656" name="Picture 31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96400" y="6010275"/>
          <a:ext cx="9429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276225</xdr:colOff>
      <xdr:row>47</xdr:row>
      <xdr:rowOff>47625</xdr:rowOff>
    </xdr:from>
    <xdr:to>
      <xdr:col>2</xdr:col>
      <xdr:colOff>400050</xdr:colOff>
      <xdr:row>53</xdr:row>
      <xdr:rowOff>9525</xdr:rowOff>
    </xdr:to>
    <xdr:pic>
      <xdr:nvPicPr>
        <xdr:cNvPr id="170657" name="Picture 3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9575" y="10029825"/>
          <a:ext cx="16478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504825</xdr:colOff>
      <xdr:row>56</xdr:row>
      <xdr:rowOff>19050</xdr:rowOff>
    </xdr:from>
    <xdr:to>
      <xdr:col>2</xdr:col>
      <xdr:colOff>76200</xdr:colOff>
      <xdr:row>59</xdr:row>
      <xdr:rowOff>104775</xdr:rowOff>
    </xdr:to>
    <xdr:pic>
      <xdr:nvPicPr>
        <xdr:cNvPr id="170658" name="Picture 3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8175" y="11468100"/>
          <a:ext cx="10953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142875</xdr:colOff>
      <xdr:row>142</xdr:row>
      <xdr:rowOff>95250</xdr:rowOff>
    </xdr:from>
    <xdr:to>
      <xdr:col>1</xdr:col>
      <xdr:colOff>1000125</xdr:colOff>
      <xdr:row>144</xdr:row>
      <xdr:rowOff>95250</xdr:rowOff>
    </xdr:to>
    <xdr:pic>
      <xdr:nvPicPr>
        <xdr:cNvPr id="170659" name="Picture 5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6225" y="32689800"/>
          <a:ext cx="857250" cy="3810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1171575</xdr:colOff>
      <xdr:row>141</xdr:row>
      <xdr:rowOff>85725</xdr:rowOff>
    </xdr:from>
    <xdr:to>
      <xdr:col>2</xdr:col>
      <xdr:colOff>542925</xdr:colOff>
      <xdr:row>144</xdr:row>
      <xdr:rowOff>104775</xdr:rowOff>
    </xdr:to>
    <xdr:pic>
      <xdr:nvPicPr>
        <xdr:cNvPr id="170660" name="Picture 5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32489775"/>
          <a:ext cx="895350" cy="5905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76200</xdr:colOff>
      <xdr:row>117</xdr:row>
      <xdr:rowOff>38100</xdr:rowOff>
    </xdr:from>
    <xdr:to>
      <xdr:col>10</xdr:col>
      <xdr:colOff>666750</xdr:colOff>
      <xdr:row>119</xdr:row>
      <xdr:rowOff>123825</xdr:rowOff>
    </xdr:to>
    <xdr:pic>
      <xdr:nvPicPr>
        <xdr:cNvPr id="170661" name="Picture 18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0" y="27498675"/>
          <a:ext cx="590550" cy="46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781050</xdr:colOff>
      <xdr:row>117</xdr:row>
      <xdr:rowOff>19050</xdr:rowOff>
    </xdr:from>
    <xdr:to>
      <xdr:col>10</xdr:col>
      <xdr:colOff>981075</xdr:colOff>
      <xdr:row>119</xdr:row>
      <xdr:rowOff>133350</xdr:rowOff>
    </xdr:to>
    <xdr:pic>
      <xdr:nvPicPr>
        <xdr:cNvPr id="170662" name="Picture 18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324850" y="27479625"/>
          <a:ext cx="20002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200025</xdr:colOff>
      <xdr:row>90</xdr:row>
      <xdr:rowOff>28575</xdr:rowOff>
    </xdr:from>
    <xdr:to>
      <xdr:col>10</xdr:col>
      <xdr:colOff>838200</xdr:colOff>
      <xdr:row>92</xdr:row>
      <xdr:rowOff>152400</xdr:rowOff>
    </xdr:to>
    <xdr:pic>
      <xdr:nvPicPr>
        <xdr:cNvPr id="170663" name="Picture 188"/>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743825" y="20031075"/>
          <a:ext cx="638175"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504825</xdr:colOff>
      <xdr:row>66</xdr:row>
      <xdr:rowOff>19050</xdr:rowOff>
    </xdr:from>
    <xdr:to>
      <xdr:col>2</xdr:col>
      <xdr:colOff>76200</xdr:colOff>
      <xdr:row>69</xdr:row>
      <xdr:rowOff>104775</xdr:rowOff>
    </xdr:to>
    <xdr:pic>
      <xdr:nvPicPr>
        <xdr:cNvPr id="170664" name="Picture 3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8175" y="13944600"/>
          <a:ext cx="10953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504825</xdr:colOff>
      <xdr:row>76</xdr:row>
      <xdr:rowOff>19050</xdr:rowOff>
    </xdr:from>
    <xdr:to>
      <xdr:col>2</xdr:col>
      <xdr:colOff>76200</xdr:colOff>
      <xdr:row>79</xdr:row>
      <xdr:rowOff>104775</xdr:rowOff>
    </xdr:to>
    <xdr:pic>
      <xdr:nvPicPr>
        <xdr:cNvPr id="170665" name="Picture 3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8175" y="16583025"/>
          <a:ext cx="10953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257175</xdr:colOff>
      <xdr:row>109</xdr:row>
      <xdr:rowOff>28575</xdr:rowOff>
    </xdr:from>
    <xdr:to>
      <xdr:col>10</xdr:col>
      <xdr:colOff>723900</xdr:colOff>
      <xdr:row>111</xdr:row>
      <xdr:rowOff>161925</xdr:rowOff>
    </xdr:to>
    <xdr:pic>
      <xdr:nvPicPr>
        <xdr:cNvPr id="170666" name="Picture 19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800975" y="25841325"/>
          <a:ext cx="466725" cy="5143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304800</xdr:colOff>
      <xdr:row>129</xdr:row>
      <xdr:rowOff>76200</xdr:rowOff>
    </xdr:from>
    <xdr:to>
      <xdr:col>2</xdr:col>
      <xdr:colOff>476250</xdr:colOff>
      <xdr:row>132</xdr:row>
      <xdr:rowOff>47625</xdr:rowOff>
    </xdr:to>
    <xdr:pic>
      <xdr:nvPicPr>
        <xdr:cNvPr id="170667" name="Picture 32"/>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8150" y="30194250"/>
          <a:ext cx="1695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76200</xdr:colOff>
      <xdr:row>117</xdr:row>
      <xdr:rowOff>38100</xdr:rowOff>
    </xdr:from>
    <xdr:to>
      <xdr:col>10</xdr:col>
      <xdr:colOff>666750</xdr:colOff>
      <xdr:row>119</xdr:row>
      <xdr:rowOff>123825</xdr:rowOff>
    </xdr:to>
    <xdr:pic>
      <xdr:nvPicPr>
        <xdr:cNvPr id="170669" name="Picture 19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0" y="27498675"/>
          <a:ext cx="590550" cy="46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781050</xdr:colOff>
      <xdr:row>117</xdr:row>
      <xdr:rowOff>19050</xdr:rowOff>
    </xdr:from>
    <xdr:to>
      <xdr:col>10</xdr:col>
      <xdr:colOff>981075</xdr:colOff>
      <xdr:row>119</xdr:row>
      <xdr:rowOff>133350</xdr:rowOff>
    </xdr:to>
    <xdr:pic>
      <xdr:nvPicPr>
        <xdr:cNvPr id="170670" name="Picture 20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324850" y="27479625"/>
          <a:ext cx="20002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76200</xdr:colOff>
      <xdr:row>117</xdr:row>
      <xdr:rowOff>38100</xdr:rowOff>
    </xdr:from>
    <xdr:to>
      <xdr:col>10</xdr:col>
      <xdr:colOff>666750</xdr:colOff>
      <xdr:row>119</xdr:row>
      <xdr:rowOff>123825</xdr:rowOff>
    </xdr:to>
    <xdr:pic>
      <xdr:nvPicPr>
        <xdr:cNvPr id="170671" name="Picture 20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0" y="27498675"/>
          <a:ext cx="590550" cy="46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781050</xdr:colOff>
      <xdr:row>117</xdr:row>
      <xdr:rowOff>19050</xdr:rowOff>
    </xdr:from>
    <xdr:to>
      <xdr:col>10</xdr:col>
      <xdr:colOff>981075</xdr:colOff>
      <xdr:row>119</xdr:row>
      <xdr:rowOff>133350</xdr:rowOff>
    </xdr:to>
    <xdr:pic>
      <xdr:nvPicPr>
        <xdr:cNvPr id="170672" name="Picture 20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324850" y="27479625"/>
          <a:ext cx="20002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247650</xdr:colOff>
      <xdr:row>123</xdr:row>
      <xdr:rowOff>57150</xdr:rowOff>
    </xdr:from>
    <xdr:to>
      <xdr:col>10</xdr:col>
      <xdr:colOff>771525</xdr:colOff>
      <xdr:row>126</xdr:row>
      <xdr:rowOff>9525</xdr:rowOff>
    </xdr:to>
    <xdr:pic>
      <xdr:nvPicPr>
        <xdr:cNvPr id="170673" name="Рисунок 40" descr="https://img.vseinstrumenti.ru/images/goods/540389/300x300/910656.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791450" y="29032200"/>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180974</xdr:colOff>
      <xdr:row>1</xdr:row>
      <xdr:rowOff>41499</xdr:rowOff>
    </xdr:from>
    <xdr:to>
      <xdr:col>7</xdr:col>
      <xdr:colOff>571499</xdr:colOff>
      <xdr:row>1</xdr:row>
      <xdr:rowOff>2000250</xdr:rowOff>
    </xdr:to>
    <xdr:sp macro="" textlink="">
      <xdr:nvSpPr>
        <xdr:cNvPr id="41" name="TextBox 40"/>
        <xdr:cNvSpPr txBox="1">
          <a:spLocks noChangeArrowheads="1"/>
        </xdr:cNvSpPr>
      </xdr:nvSpPr>
      <xdr:spPr bwMode="auto">
        <a:xfrm flipH="1">
          <a:off x="3648074" y="298674"/>
          <a:ext cx="1819275" cy="1958751"/>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baseline="0">
              <a:effectLst/>
              <a:latin typeface="Arial" panose="020B0604020202020204" pitchFamily="34" charset="0"/>
              <a:ea typeface="+mn-ea"/>
              <a:cs typeface="Arial" panose="020B0604020202020204" pitchFamily="34" charset="0"/>
            </a:rPr>
            <a:t>К</a:t>
          </a:r>
          <a:r>
            <a:rPr lang="ru-RU" sz="900" b="0" i="0" baseline="0">
              <a:effectLst/>
              <a:latin typeface="Arial" panose="020B0604020202020204" pitchFamily="34" charset="0"/>
              <a:ea typeface="+mn-ea"/>
              <a:cs typeface="Arial" panose="020B0604020202020204" pitchFamily="34" charset="0"/>
            </a:rPr>
            <a:t>азань (843)206-01-48</a:t>
          </a:r>
          <a:endParaRPr lang="ru-RU" sz="9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алининград (4012)72-03-81 </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алуга (4842)92-23-67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емерово (3842)65-04-62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иров (8332)68-02-04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раснодар (861)203-40-90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расноярск (391)204-63-61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урск (4712)77-13-04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Л</a:t>
          </a:r>
          <a:r>
            <a:rPr lang="ru-RU" sz="900" b="0" i="0" u="none" strike="noStrike" baseline="0">
              <a:solidFill>
                <a:srgbClr val="000000"/>
              </a:solidFill>
              <a:latin typeface="Arial" panose="020B0604020202020204" pitchFamily="34" charset="0"/>
              <a:cs typeface="Arial" panose="020B0604020202020204" pitchFamily="34" charset="0"/>
            </a:rPr>
            <a:t>ипецк (4742)52-20-81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агнитогорск (3519)55-03-13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осква (495)268-04-70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урманск (8152)59-64-93</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азахстан (772) 734-952-31</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10</xdr:col>
      <xdr:colOff>266701</xdr:colOff>
      <xdr:row>1</xdr:row>
      <xdr:rowOff>28575</xdr:rowOff>
    </xdr:from>
    <xdr:to>
      <xdr:col>11</xdr:col>
      <xdr:colOff>1028700</xdr:colOff>
      <xdr:row>1</xdr:row>
      <xdr:rowOff>1849828</xdr:rowOff>
    </xdr:to>
    <xdr:sp macro="" textlink="">
      <xdr:nvSpPr>
        <xdr:cNvPr id="42" name="TextBox 41"/>
        <xdr:cNvSpPr txBox="1">
          <a:spLocks noChangeArrowheads="1"/>
        </xdr:cNvSpPr>
      </xdr:nvSpPr>
      <xdr:spPr bwMode="auto">
        <a:xfrm>
          <a:off x="7810501" y="285750"/>
          <a:ext cx="1752599" cy="1821253"/>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С</a:t>
          </a:r>
          <a:r>
            <a:rPr lang="ru-RU" sz="900" b="0" i="0" baseline="0">
              <a:effectLst/>
              <a:latin typeface="Arial" panose="020B0604020202020204" pitchFamily="34" charset="0"/>
              <a:ea typeface="+mn-ea"/>
              <a:cs typeface="Arial" panose="020B0604020202020204" pitchFamily="34" charset="0"/>
            </a:rPr>
            <a:t>аратов (845)249-38-78</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моленск (4812)29-41-54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очи (862)225-72-31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таврополь (8652)20-65-13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верь (4822)63-31-35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омск (3822)98-41-53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ула (4872)74-02-29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юмень (3452)66-21-18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льяновск (8422)24-23-59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фа (347)229-48-12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елябинск (351)202-03-61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ереповец (8202)49-02-64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Я</a:t>
          </a:r>
          <a:r>
            <a:rPr lang="ru-RU" sz="900" b="0" i="0" u="none" strike="noStrike" baseline="0">
              <a:solidFill>
                <a:srgbClr val="000000"/>
              </a:solidFill>
              <a:latin typeface="Arial" panose="020B0604020202020204" pitchFamily="34" charset="0"/>
              <a:cs typeface="Arial" panose="020B0604020202020204" pitchFamily="34" charset="0"/>
            </a:rPr>
            <a:t>рославль (4852)69-52-93</a:t>
          </a:r>
        </a:p>
      </xdr:txBody>
    </xdr:sp>
    <xdr:clientData/>
  </xdr:twoCellAnchor>
  <xdr:twoCellAnchor editAs="oneCell">
    <xdr:from>
      <xdr:col>7</xdr:col>
      <xdr:colOff>638175</xdr:colOff>
      <xdr:row>1</xdr:row>
      <xdr:rowOff>31977</xdr:rowOff>
    </xdr:from>
    <xdr:to>
      <xdr:col>10</xdr:col>
      <xdr:colOff>200025</xdr:colOff>
      <xdr:row>1</xdr:row>
      <xdr:rowOff>2024711</xdr:rowOff>
    </xdr:to>
    <xdr:sp macro="" textlink="">
      <xdr:nvSpPr>
        <xdr:cNvPr id="43" name="TextBox 42"/>
        <xdr:cNvSpPr txBox="1">
          <a:spLocks noChangeArrowheads="1"/>
        </xdr:cNvSpPr>
      </xdr:nvSpPr>
      <xdr:spPr bwMode="auto">
        <a:xfrm>
          <a:off x="5534025" y="289152"/>
          <a:ext cx="2209800" cy="1992734"/>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Н</a:t>
          </a:r>
          <a:r>
            <a:rPr lang="ru-RU" sz="900" b="0" i="0" baseline="0">
              <a:effectLst/>
              <a:latin typeface="Arial" panose="020B0604020202020204" pitchFamily="34" charset="0"/>
              <a:ea typeface="+mn-ea"/>
              <a:cs typeface="Arial" panose="020B0604020202020204" pitchFamily="34" charset="0"/>
            </a:rPr>
            <a:t>абережные Челны (8552)20-53-41</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ижний Новгород (831)429-08-12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овокузнецк (3843)20-46-81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овосибирск (383)227-86-73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рел (4862)44-53-42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ренбург (3532)37-68-04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енза (8412)22-31-16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ермь (342)205-81-47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остов-на-Дону (863)308-18-15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язань (4912)46-61-64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амара (846)206-03-16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анкт-Петербург (812)309-46-40</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Таджикистан (992) 427-82-92-69</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2</xdr:col>
      <xdr:colOff>180975</xdr:colOff>
      <xdr:row>1</xdr:row>
      <xdr:rowOff>51479</xdr:rowOff>
    </xdr:from>
    <xdr:to>
      <xdr:col>5</xdr:col>
      <xdr:colOff>209551</xdr:colOff>
      <xdr:row>1</xdr:row>
      <xdr:rowOff>2080441</xdr:rowOff>
    </xdr:to>
    <xdr:sp macro="" textlink="">
      <xdr:nvSpPr>
        <xdr:cNvPr id="44" name="TextBox 43"/>
        <xdr:cNvSpPr txBox="1">
          <a:spLocks noChangeArrowheads="1"/>
        </xdr:cNvSpPr>
      </xdr:nvSpPr>
      <xdr:spPr bwMode="auto">
        <a:xfrm>
          <a:off x="1838325" y="308654"/>
          <a:ext cx="1838326" cy="2028962"/>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рхангельск (8182)63-90-72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стана +7(7172)727-132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елгород (4722)40-23-64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рянск (4832)59-03-52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ладивосток (423)249-28-31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олгоград (844)278-03-48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ологда (8172)26-41-59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оронеж (473)204-51-73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Е</a:t>
          </a:r>
          <a:r>
            <a:rPr lang="ru-RU" sz="900" b="0" i="0" u="none" strike="noStrike" baseline="0">
              <a:solidFill>
                <a:srgbClr val="000000"/>
              </a:solidFill>
              <a:latin typeface="Arial" panose="020B0604020202020204" pitchFamily="34" charset="0"/>
              <a:cs typeface="Arial" panose="020B0604020202020204" pitchFamily="34" charset="0"/>
            </a:rPr>
            <a:t>катеринбург (343)384-55-89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ваново (4932)77-34-06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жевск (3412)26-03-58</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Иркутск (395) 279-98-46</a:t>
          </a:r>
        </a:p>
        <a:p>
          <a:pPr algn="l" rtl="0">
            <a:defRPr sz="1000"/>
          </a:pP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иргизия (996) 312-96-26-47</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1009650</xdr:colOff>
      <xdr:row>200</xdr:row>
      <xdr:rowOff>123825</xdr:rowOff>
    </xdr:from>
    <xdr:to>
      <xdr:col>2</xdr:col>
      <xdr:colOff>1562100</xdr:colOff>
      <xdr:row>202</xdr:row>
      <xdr:rowOff>104775</xdr:rowOff>
    </xdr:to>
    <xdr:pic>
      <xdr:nvPicPr>
        <xdr:cNvPr id="174252" name="Pictur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42805350"/>
          <a:ext cx="552450" cy="3619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180975</xdr:colOff>
      <xdr:row>200</xdr:row>
      <xdr:rowOff>114300</xdr:rowOff>
    </xdr:from>
    <xdr:to>
      <xdr:col>2</xdr:col>
      <xdr:colOff>923925</xdr:colOff>
      <xdr:row>202</xdr:row>
      <xdr:rowOff>104775</xdr:rowOff>
    </xdr:to>
    <xdr:pic>
      <xdr:nvPicPr>
        <xdr:cNvPr id="174254"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3925" y="42795825"/>
          <a:ext cx="742950" cy="3714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257175</xdr:colOff>
      <xdr:row>7</xdr:row>
      <xdr:rowOff>9525</xdr:rowOff>
    </xdr:from>
    <xdr:to>
      <xdr:col>6</xdr:col>
      <xdr:colOff>400050</xdr:colOff>
      <xdr:row>9</xdr:row>
      <xdr:rowOff>57150</xdr:rowOff>
    </xdr:to>
    <xdr:pic>
      <xdr:nvPicPr>
        <xdr:cNvPr id="174255" name="Picture 9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9150" y="2276475"/>
          <a:ext cx="866775"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238125</xdr:colOff>
      <xdr:row>222</xdr:row>
      <xdr:rowOff>133350</xdr:rowOff>
    </xdr:from>
    <xdr:to>
      <xdr:col>2</xdr:col>
      <xdr:colOff>1400175</xdr:colOff>
      <xdr:row>226</xdr:row>
      <xdr:rowOff>133350</xdr:rowOff>
    </xdr:to>
    <xdr:pic>
      <xdr:nvPicPr>
        <xdr:cNvPr id="174257" name="Picture 7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1075" y="47872650"/>
          <a:ext cx="1162050" cy="7620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581025</xdr:colOff>
      <xdr:row>275</xdr:row>
      <xdr:rowOff>161925</xdr:rowOff>
    </xdr:from>
    <xdr:to>
      <xdr:col>2</xdr:col>
      <xdr:colOff>1257300</xdr:colOff>
      <xdr:row>278</xdr:row>
      <xdr:rowOff>123825</xdr:rowOff>
    </xdr:to>
    <xdr:pic>
      <xdr:nvPicPr>
        <xdr:cNvPr id="174258" name="Picture 5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4375" y="60817125"/>
          <a:ext cx="1285875" cy="5334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47625</xdr:colOff>
      <xdr:row>275</xdr:row>
      <xdr:rowOff>104775</xdr:rowOff>
    </xdr:from>
    <xdr:to>
      <xdr:col>10</xdr:col>
      <xdr:colOff>295275</xdr:colOff>
      <xdr:row>278</xdr:row>
      <xdr:rowOff>152400</xdr:rowOff>
    </xdr:to>
    <xdr:pic>
      <xdr:nvPicPr>
        <xdr:cNvPr id="174259" name="Picture 5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67600" y="60759975"/>
          <a:ext cx="1190625" cy="6191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438150</xdr:colOff>
      <xdr:row>275</xdr:row>
      <xdr:rowOff>123825</xdr:rowOff>
    </xdr:from>
    <xdr:to>
      <xdr:col>11</xdr:col>
      <xdr:colOff>190500</xdr:colOff>
      <xdr:row>278</xdr:row>
      <xdr:rowOff>123825</xdr:rowOff>
    </xdr:to>
    <xdr:pic>
      <xdr:nvPicPr>
        <xdr:cNvPr id="174260" name="Picture 5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01100" y="60779025"/>
          <a:ext cx="1190625" cy="5715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114300</xdr:colOff>
      <xdr:row>270</xdr:row>
      <xdr:rowOff>9525</xdr:rowOff>
    </xdr:from>
    <xdr:to>
      <xdr:col>2</xdr:col>
      <xdr:colOff>1247775</xdr:colOff>
      <xdr:row>272</xdr:row>
      <xdr:rowOff>28575</xdr:rowOff>
    </xdr:to>
    <xdr:pic>
      <xdr:nvPicPr>
        <xdr:cNvPr id="174261" name="Picture 5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0" y="59674125"/>
          <a:ext cx="1133475" cy="400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47625</xdr:colOff>
      <xdr:row>20</xdr:row>
      <xdr:rowOff>152400</xdr:rowOff>
    </xdr:from>
    <xdr:to>
      <xdr:col>2</xdr:col>
      <xdr:colOff>1638300</xdr:colOff>
      <xdr:row>25</xdr:row>
      <xdr:rowOff>180975</xdr:rowOff>
    </xdr:to>
    <xdr:pic>
      <xdr:nvPicPr>
        <xdr:cNvPr id="174262" name="Picture 9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0975" y="6638925"/>
          <a:ext cx="2200275" cy="9810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371475</xdr:colOff>
      <xdr:row>29</xdr:row>
      <xdr:rowOff>123825</xdr:rowOff>
    </xdr:from>
    <xdr:to>
      <xdr:col>2</xdr:col>
      <xdr:colOff>1485900</xdr:colOff>
      <xdr:row>31</xdr:row>
      <xdr:rowOff>114300</xdr:rowOff>
    </xdr:to>
    <xdr:pic>
      <xdr:nvPicPr>
        <xdr:cNvPr id="174263" name="Picture 9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4425" y="8324850"/>
          <a:ext cx="1114425" cy="3714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171450</xdr:colOff>
      <xdr:row>38</xdr:row>
      <xdr:rowOff>76200</xdr:rowOff>
    </xdr:from>
    <xdr:to>
      <xdr:col>2</xdr:col>
      <xdr:colOff>1571625</xdr:colOff>
      <xdr:row>41</xdr:row>
      <xdr:rowOff>123825</xdr:rowOff>
    </xdr:to>
    <xdr:pic>
      <xdr:nvPicPr>
        <xdr:cNvPr id="174264" name="Picture 9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14400" y="10086975"/>
          <a:ext cx="1400175" cy="6191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266700</xdr:colOff>
      <xdr:row>65</xdr:row>
      <xdr:rowOff>47625</xdr:rowOff>
    </xdr:from>
    <xdr:to>
      <xdr:col>2</xdr:col>
      <xdr:colOff>1590675</xdr:colOff>
      <xdr:row>69</xdr:row>
      <xdr:rowOff>142875</xdr:rowOff>
    </xdr:to>
    <xdr:pic>
      <xdr:nvPicPr>
        <xdr:cNvPr id="174265" name="Picture 93" descr=" &amp;Ucy;&amp;lcy;&amp;softcy;&amp;tcy;&amp;rcy;&amp;acy;&amp;zcy;&amp;vcy;&amp;ucy;&amp;kcy;&amp;ocy;&amp;vcy;&amp;ocy;&amp;jcy; &amp;pcy;&amp;rcy;&amp;iecy;&amp;ocy;&amp;bcy;&amp;rcy;&amp;acy;&amp;zcy;&amp;ocy;&amp;vcy;&amp;acy;&amp;tcy;&amp;iecy;&amp;lcy;&amp;softcy; &amp;rcy;&amp;acy;&amp;scy;&amp;khcy;&amp;ocy;&amp;dcy;&amp;acy; &amp;Ucy;&amp;Pcy;&amp;Rcy;"/>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09650" y="15640050"/>
          <a:ext cx="13239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87</xdr:row>
      <xdr:rowOff>114300</xdr:rowOff>
    </xdr:from>
    <xdr:to>
      <xdr:col>2</xdr:col>
      <xdr:colOff>1514475</xdr:colOff>
      <xdr:row>91</xdr:row>
      <xdr:rowOff>142875</xdr:rowOff>
    </xdr:to>
    <xdr:pic>
      <xdr:nvPicPr>
        <xdr:cNvPr id="174266" name="Picture 94" descr=" &amp;Ucy;&amp;lcy;&amp;softcy;&amp;tcy;&amp;rcy;&amp;acy;&amp;zcy;&amp;vcy;&amp;ucy;&amp;kcy;&amp;ocy;&amp;vcy;&amp;ocy;&amp;jcy; &amp;pcy;&amp;rcy;&amp;iecy;&amp;ocy;&amp;bcy;&amp;rcy;&amp;acy;&amp;zcy;&amp;ocy;&amp;vcy;&amp;acy;&amp;tcy;&amp;iecy;&amp;lcy;&amp;softcy; &amp;rcy;&amp;acy;&amp;scy;&amp;khcy;&amp;ocy;&amp;dcy;&amp;acy; &amp;Ucy;&amp;Pcy;&amp;Rcy;"/>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28675" y="20107275"/>
          <a:ext cx="14287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123</xdr:row>
      <xdr:rowOff>66675</xdr:rowOff>
    </xdr:from>
    <xdr:to>
      <xdr:col>2</xdr:col>
      <xdr:colOff>1647825</xdr:colOff>
      <xdr:row>131</xdr:row>
      <xdr:rowOff>123825</xdr:rowOff>
    </xdr:to>
    <xdr:pic>
      <xdr:nvPicPr>
        <xdr:cNvPr id="174267" name="Picture 9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9075" y="27374850"/>
          <a:ext cx="2171700" cy="14287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133350</xdr:colOff>
      <xdr:row>132</xdr:row>
      <xdr:rowOff>57150</xdr:rowOff>
    </xdr:from>
    <xdr:to>
      <xdr:col>2</xdr:col>
      <xdr:colOff>1457325</xdr:colOff>
      <xdr:row>136</xdr:row>
      <xdr:rowOff>161925</xdr:rowOff>
    </xdr:to>
    <xdr:pic>
      <xdr:nvPicPr>
        <xdr:cNvPr id="174268" name="Picture 101"/>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76300" y="28908375"/>
          <a:ext cx="1323975" cy="866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133350</xdr:colOff>
      <xdr:row>155</xdr:row>
      <xdr:rowOff>95250</xdr:rowOff>
    </xdr:from>
    <xdr:to>
      <xdr:col>2</xdr:col>
      <xdr:colOff>1409700</xdr:colOff>
      <xdr:row>159</xdr:row>
      <xdr:rowOff>171450</xdr:rowOff>
    </xdr:to>
    <xdr:pic>
      <xdr:nvPicPr>
        <xdr:cNvPr id="174269" name="Picture 10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76300" y="33670875"/>
          <a:ext cx="1276350" cy="8382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161925</xdr:colOff>
      <xdr:row>177</xdr:row>
      <xdr:rowOff>142875</xdr:rowOff>
    </xdr:from>
    <xdr:to>
      <xdr:col>2</xdr:col>
      <xdr:colOff>1495425</xdr:colOff>
      <xdr:row>181</xdr:row>
      <xdr:rowOff>114300</xdr:rowOff>
    </xdr:to>
    <xdr:pic>
      <xdr:nvPicPr>
        <xdr:cNvPr id="174270" name="Picture 10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04875" y="38119050"/>
          <a:ext cx="1333500" cy="7334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1009650</xdr:colOff>
      <xdr:row>110</xdr:row>
      <xdr:rowOff>123825</xdr:rowOff>
    </xdr:from>
    <xdr:to>
      <xdr:col>2</xdr:col>
      <xdr:colOff>1562100</xdr:colOff>
      <xdr:row>112</xdr:row>
      <xdr:rowOff>123825</xdr:rowOff>
    </xdr:to>
    <xdr:pic>
      <xdr:nvPicPr>
        <xdr:cNvPr id="174271" name="Picture 10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24803100"/>
          <a:ext cx="552450" cy="3619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180975</xdr:colOff>
      <xdr:row>110</xdr:row>
      <xdr:rowOff>114300</xdr:rowOff>
    </xdr:from>
    <xdr:to>
      <xdr:col>2</xdr:col>
      <xdr:colOff>923925</xdr:colOff>
      <xdr:row>112</xdr:row>
      <xdr:rowOff>123825</xdr:rowOff>
    </xdr:to>
    <xdr:pic>
      <xdr:nvPicPr>
        <xdr:cNvPr id="174272" name="Picture 10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3925" y="24793575"/>
          <a:ext cx="742950" cy="3714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552450</xdr:colOff>
      <xdr:row>246</xdr:row>
      <xdr:rowOff>123825</xdr:rowOff>
    </xdr:from>
    <xdr:to>
      <xdr:col>2</xdr:col>
      <xdr:colOff>1524000</xdr:colOff>
      <xdr:row>250</xdr:row>
      <xdr:rowOff>152400</xdr:rowOff>
    </xdr:to>
    <xdr:pic>
      <xdr:nvPicPr>
        <xdr:cNvPr id="174273" name="Picture 1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85800" y="54549675"/>
          <a:ext cx="1581150" cy="7905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590550</xdr:colOff>
      <xdr:row>6</xdr:row>
      <xdr:rowOff>161925</xdr:rowOff>
    </xdr:from>
    <xdr:to>
      <xdr:col>10</xdr:col>
      <xdr:colOff>571500</xdr:colOff>
      <xdr:row>9</xdr:row>
      <xdr:rowOff>28575</xdr:rowOff>
    </xdr:to>
    <xdr:pic>
      <xdr:nvPicPr>
        <xdr:cNvPr id="174274" name="Picture 9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010525" y="2238375"/>
          <a:ext cx="923925"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390525</xdr:colOff>
      <xdr:row>258</xdr:row>
      <xdr:rowOff>85725</xdr:rowOff>
    </xdr:from>
    <xdr:to>
      <xdr:col>2</xdr:col>
      <xdr:colOff>1476375</xdr:colOff>
      <xdr:row>261</xdr:row>
      <xdr:rowOff>57150</xdr:rowOff>
    </xdr:to>
    <xdr:pic>
      <xdr:nvPicPr>
        <xdr:cNvPr id="174275" name="Picture 32"/>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23875" y="57445275"/>
          <a:ext cx="1695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66675</xdr:colOff>
      <xdr:row>284</xdr:row>
      <xdr:rowOff>57150</xdr:rowOff>
    </xdr:from>
    <xdr:to>
      <xdr:col>2</xdr:col>
      <xdr:colOff>1066800</xdr:colOff>
      <xdr:row>288</xdr:row>
      <xdr:rowOff>161925</xdr:rowOff>
    </xdr:to>
    <xdr:pic>
      <xdr:nvPicPr>
        <xdr:cNvPr id="174276" name="Picture 9"/>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09625" y="62522100"/>
          <a:ext cx="1000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66675</xdr:colOff>
      <xdr:row>302</xdr:row>
      <xdr:rowOff>85725</xdr:rowOff>
    </xdr:from>
    <xdr:to>
      <xdr:col>2</xdr:col>
      <xdr:colOff>1152525</xdr:colOff>
      <xdr:row>306</xdr:row>
      <xdr:rowOff>152400</xdr:rowOff>
    </xdr:to>
    <xdr:pic>
      <xdr:nvPicPr>
        <xdr:cNvPr id="174277" name="Picture 127" descr="http://www.vera-1.ru/upload/medialibrary/ddd/ddd634b9cc7500de396d244ae4abc324.jpe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09625" y="66227325"/>
          <a:ext cx="10858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320</xdr:row>
      <xdr:rowOff>142875</xdr:rowOff>
    </xdr:from>
    <xdr:to>
      <xdr:col>2</xdr:col>
      <xdr:colOff>1133475</xdr:colOff>
      <xdr:row>324</xdr:row>
      <xdr:rowOff>152400</xdr:rowOff>
    </xdr:to>
    <xdr:pic>
      <xdr:nvPicPr>
        <xdr:cNvPr id="174280" name="Рисунок 31" descr="https://tigris-shop.ru/upload/iblock/6e2/6e2294d6d65203429a068d9b51335987.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14400" y="69961125"/>
          <a:ext cx="9620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314324</xdr:colOff>
      <xdr:row>1</xdr:row>
      <xdr:rowOff>41499</xdr:rowOff>
    </xdr:from>
    <xdr:to>
      <xdr:col>6</xdr:col>
      <xdr:colOff>561974</xdr:colOff>
      <xdr:row>1</xdr:row>
      <xdr:rowOff>2000250</xdr:rowOff>
    </xdr:to>
    <xdr:sp macro="" textlink="">
      <xdr:nvSpPr>
        <xdr:cNvPr id="31" name="TextBox 30"/>
        <xdr:cNvSpPr txBox="1">
          <a:spLocks noChangeArrowheads="1"/>
        </xdr:cNvSpPr>
      </xdr:nvSpPr>
      <xdr:spPr bwMode="auto">
        <a:xfrm flipH="1">
          <a:off x="3838574" y="327249"/>
          <a:ext cx="1819275" cy="1958751"/>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baseline="0">
              <a:effectLst/>
              <a:latin typeface="Arial" panose="020B0604020202020204" pitchFamily="34" charset="0"/>
              <a:ea typeface="+mn-ea"/>
              <a:cs typeface="Arial" panose="020B0604020202020204" pitchFamily="34" charset="0"/>
            </a:rPr>
            <a:t>К</a:t>
          </a:r>
          <a:r>
            <a:rPr lang="ru-RU" sz="900" b="0" i="0" baseline="0">
              <a:effectLst/>
              <a:latin typeface="Arial" panose="020B0604020202020204" pitchFamily="34" charset="0"/>
              <a:ea typeface="+mn-ea"/>
              <a:cs typeface="Arial" panose="020B0604020202020204" pitchFamily="34" charset="0"/>
            </a:rPr>
            <a:t>азань (843)206-01-48</a:t>
          </a:r>
          <a:endParaRPr lang="ru-RU" sz="9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алининград (4012)72-03-81 </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алуга (4842)92-23-67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емерово (3842)65-04-62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иров (8332)68-02-04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раснодар (861)203-40-90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расноярск (391)204-63-61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урск (4712)77-13-04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Л</a:t>
          </a:r>
          <a:r>
            <a:rPr lang="ru-RU" sz="900" b="0" i="0" u="none" strike="noStrike" baseline="0">
              <a:solidFill>
                <a:srgbClr val="000000"/>
              </a:solidFill>
              <a:latin typeface="Arial" panose="020B0604020202020204" pitchFamily="34" charset="0"/>
              <a:cs typeface="Arial" panose="020B0604020202020204" pitchFamily="34" charset="0"/>
            </a:rPr>
            <a:t>ипецк (4742)52-20-81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агнитогорск (3519)55-03-13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осква (495)268-04-70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урманск (8152)59-64-93</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азахстан (772) 734-952-31</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9</xdr:col>
      <xdr:colOff>581026</xdr:colOff>
      <xdr:row>1</xdr:row>
      <xdr:rowOff>28575</xdr:rowOff>
    </xdr:from>
    <xdr:to>
      <xdr:col>10</xdr:col>
      <xdr:colOff>1390650</xdr:colOff>
      <xdr:row>1</xdr:row>
      <xdr:rowOff>1849828</xdr:rowOff>
    </xdr:to>
    <xdr:sp macro="" textlink="">
      <xdr:nvSpPr>
        <xdr:cNvPr id="32" name="TextBox 31"/>
        <xdr:cNvSpPr txBox="1">
          <a:spLocks noChangeArrowheads="1"/>
        </xdr:cNvSpPr>
      </xdr:nvSpPr>
      <xdr:spPr bwMode="auto">
        <a:xfrm>
          <a:off x="8001001" y="314325"/>
          <a:ext cx="1752599" cy="1821253"/>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С</a:t>
          </a:r>
          <a:r>
            <a:rPr lang="ru-RU" sz="900" b="0" i="0" baseline="0">
              <a:effectLst/>
              <a:latin typeface="Arial" panose="020B0604020202020204" pitchFamily="34" charset="0"/>
              <a:ea typeface="+mn-ea"/>
              <a:cs typeface="Arial" panose="020B0604020202020204" pitchFamily="34" charset="0"/>
            </a:rPr>
            <a:t>аратов (845)249-38-78</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моленск (4812)29-41-54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очи (862)225-72-31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таврополь (8652)20-65-13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верь (4822)63-31-35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омск (3822)98-41-53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ула (4872)74-02-29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юмень (3452)66-21-18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льяновск (8422)24-23-59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фа (347)229-48-12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елябинск (351)202-03-61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ереповец (8202)49-02-64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Я</a:t>
          </a:r>
          <a:r>
            <a:rPr lang="ru-RU" sz="900" b="0" i="0" u="none" strike="noStrike" baseline="0">
              <a:solidFill>
                <a:srgbClr val="000000"/>
              </a:solidFill>
              <a:latin typeface="Arial" panose="020B0604020202020204" pitchFamily="34" charset="0"/>
              <a:cs typeface="Arial" panose="020B0604020202020204" pitchFamily="34" charset="0"/>
            </a:rPr>
            <a:t>рославль (4852)69-52-93</a:t>
          </a:r>
        </a:p>
      </xdr:txBody>
    </xdr:sp>
    <xdr:clientData/>
  </xdr:twoCellAnchor>
  <xdr:twoCellAnchor editAs="oneCell">
    <xdr:from>
      <xdr:col>7</xdr:col>
      <xdr:colOff>9525</xdr:colOff>
      <xdr:row>1</xdr:row>
      <xdr:rowOff>31977</xdr:rowOff>
    </xdr:from>
    <xdr:to>
      <xdr:col>9</xdr:col>
      <xdr:colOff>514350</xdr:colOff>
      <xdr:row>1</xdr:row>
      <xdr:rowOff>2024711</xdr:rowOff>
    </xdr:to>
    <xdr:sp macro="" textlink="">
      <xdr:nvSpPr>
        <xdr:cNvPr id="33" name="TextBox 32"/>
        <xdr:cNvSpPr txBox="1">
          <a:spLocks noChangeArrowheads="1"/>
        </xdr:cNvSpPr>
      </xdr:nvSpPr>
      <xdr:spPr bwMode="auto">
        <a:xfrm>
          <a:off x="5724525" y="317727"/>
          <a:ext cx="2209800" cy="1992734"/>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Н</a:t>
          </a:r>
          <a:r>
            <a:rPr lang="ru-RU" sz="900" b="0" i="0" baseline="0">
              <a:effectLst/>
              <a:latin typeface="Arial" panose="020B0604020202020204" pitchFamily="34" charset="0"/>
              <a:ea typeface="+mn-ea"/>
              <a:cs typeface="Arial" panose="020B0604020202020204" pitchFamily="34" charset="0"/>
            </a:rPr>
            <a:t>абережные Челны (8552)20-53-41</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ижний Новгород (831)429-08-12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овокузнецк (3843)20-46-81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овосибирск (383)227-86-73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рел (4862)44-53-42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ренбург (3532)37-68-04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енза (8412)22-31-16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ермь (342)205-81-47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остов-на-Дону (863)308-18-15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язань (4912)46-61-64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амара (846)206-03-16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анкт-Петербург (812)309-46-40</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Таджикистан (992) 427-82-92-69</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2</xdr:col>
      <xdr:colOff>1285875</xdr:colOff>
      <xdr:row>1</xdr:row>
      <xdr:rowOff>51479</xdr:rowOff>
    </xdr:from>
    <xdr:to>
      <xdr:col>4</xdr:col>
      <xdr:colOff>342901</xdr:colOff>
      <xdr:row>1</xdr:row>
      <xdr:rowOff>2080441</xdr:rowOff>
    </xdr:to>
    <xdr:sp macro="" textlink="">
      <xdr:nvSpPr>
        <xdr:cNvPr id="34" name="TextBox 33"/>
        <xdr:cNvSpPr txBox="1">
          <a:spLocks noChangeArrowheads="1"/>
        </xdr:cNvSpPr>
      </xdr:nvSpPr>
      <xdr:spPr bwMode="auto">
        <a:xfrm>
          <a:off x="2028825" y="337229"/>
          <a:ext cx="1838326" cy="2028962"/>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рхангельск (8182)63-90-72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стана +7(7172)727-132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елгород (4722)40-23-64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рянск (4832)59-03-52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ладивосток (423)249-28-31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олгоград (844)278-03-48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ологда (8172)26-41-59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оронеж (473)204-51-73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Е</a:t>
          </a:r>
          <a:r>
            <a:rPr lang="ru-RU" sz="900" b="0" i="0" u="none" strike="noStrike" baseline="0">
              <a:solidFill>
                <a:srgbClr val="000000"/>
              </a:solidFill>
              <a:latin typeface="Arial" panose="020B0604020202020204" pitchFamily="34" charset="0"/>
              <a:cs typeface="Arial" panose="020B0604020202020204" pitchFamily="34" charset="0"/>
            </a:rPr>
            <a:t>катеринбург (343)384-55-89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ваново (4932)77-34-06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жевск (3412)26-03-58</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Иркутск (395) 279-98-46</a:t>
          </a:r>
        </a:p>
        <a:p>
          <a:pPr algn="l" rtl="0">
            <a:defRPr sz="1000"/>
          </a:pP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иргизия (996) 312-96-26-47</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1885950</xdr:colOff>
      <xdr:row>191</xdr:row>
      <xdr:rowOff>76200</xdr:rowOff>
    </xdr:from>
    <xdr:to>
      <xdr:col>10</xdr:col>
      <xdr:colOff>3095625</xdr:colOff>
      <xdr:row>194</xdr:row>
      <xdr:rowOff>114300</xdr:rowOff>
    </xdr:to>
    <xdr:pic>
      <xdr:nvPicPr>
        <xdr:cNvPr id="173428" name="Picture 49" descr="pp-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25175" y="45586650"/>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51</xdr:row>
      <xdr:rowOff>38100</xdr:rowOff>
    </xdr:from>
    <xdr:to>
      <xdr:col>3</xdr:col>
      <xdr:colOff>1076325</xdr:colOff>
      <xdr:row>54</xdr:row>
      <xdr:rowOff>47625</xdr:rowOff>
    </xdr:to>
    <xdr:pic>
      <xdr:nvPicPr>
        <xdr:cNvPr id="173429"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10534650"/>
          <a:ext cx="990600"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85725</xdr:colOff>
      <xdr:row>50</xdr:row>
      <xdr:rowOff>180975</xdr:rowOff>
    </xdr:from>
    <xdr:to>
      <xdr:col>5</xdr:col>
      <xdr:colOff>1028700</xdr:colOff>
      <xdr:row>54</xdr:row>
      <xdr:rowOff>180975</xdr:rowOff>
    </xdr:to>
    <xdr:pic>
      <xdr:nvPicPr>
        <xdr:cNvPr id="173430"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50" y="10487025"/>
          <a:ext cx="942975" cy="6191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76200</xdr:colOff>
      <xdr:row>51</xdr:row>
      <xdr:rowOff>9525</xdr:rowOff>
    </xdr:from>
    <xdr:to>
      <xdr:col>4</xdr:col>
      <xdr:colOff>1095375</xdr:colOff>
      <xdr:row>54</xdr:row>
      <xdr:rowOff>142875</xdr:rowOff>
    </xdr:to>
    <xdr:pic>
      <xdr:nvPicPr>
        <xdr:cNvPr id="173431"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38525" y="10506075"/>
          <a:ext cx="1019175" cy="5619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66675</xdr:colOff>
      <xdr:row>51</xdr:row>
      <xdr:rowOff>85725</xdr:rowOff>
    </xdr:from>
    <xdr:to>
      <xdr:col>2</xdr:col>
      <xdr:colOff>1066800</xdr:colOff>
      <xdr:row>54</xdr:row>
      <xdr:rowOff>47625</xdr:rowOff>
    </xdr:to>
    <xdr:pic>
      <xdr:nvPicPr>
        <xdr:cNvPr id="173432"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0" y="10582275"/>
          <a:ext cx="1000125"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1009650</xdr:colOff>
      <xdr:row>48</xdr:row>
      <xdr:rowOff>133350</xdr:rowOff>
    </xdr:from>
    <xdr:to>
      <xdr:col>3</xdr:col>
      <xdr:colOff>190500</xdr:colOff>
      <xdr:row>50</xdr:row>
      <xdr:rowOff>161925</xdr:rowOff>
    </xdr:to>
    <xdr:pic>
      <xdr:nvPicPr>
        <xdr:cNvPr id="173433" name="Picture 8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85975" y="1014412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990600</xdr:colOff>
      <xdr:row>48</xdr:row>
      <xdr:rowOff>133350</xdr:rowOff>
    </xdr:from>
    <xdr:to>
      <xdr:col>7</xdr:col>
      <xdr:colOff>171450</xdr:colOff>
      <xdr:row>50</xdr:row>
      <xdr:rowOff>161925</xdr:rowOff>
    </xdr:to>
    <xdr:pic>
      <xdr:nvPicPr>
        <xdr:cNvPr id="173434" name="Picture 8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8925" y="1014412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1000125</xdr:colOff>
      <xdr:row>48</xdr:row>
      <xdr:rowOff>123825</xdr:rowOff>
    </xdr:from>
    <xdr:to>
      <xdr:col>5</xdr:col>
      <xdr:colOff>180975</xdr:colOff>
      <xdr:row>50</xdr:row>
      <xdr:rowOff>152400</xdr:rowOff>
    </xdr:to>
    <xdr:pic>
      <xdr:nvPicPr>
        <xdr:cNvPr id="173435" name="Picture 8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62450" y="1013460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76200</xdr:colOff>
      <xdr:row>104</xdr:row>
      <xdr:rowOff>171450</xdr:rowOff>
    </xdr:from>
    <xdr:to>
      <xdr:col>3</xdr:col>
      <xdr:colOff>1133475</xdr:colOff>
      <xdr:row>106</xdr:row>
      <xdr:rowOff>123825</xdr:rowOff>
    </xdr:to>
    <xdr:pic>
      <xdr:nvPicPr>
        <xdr:cNvPr id="173436" name="Picture 3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95525" y="20202525"/>
          <a:ext cx="1057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676275</xdr:colOff>
      <xdr:row>99</xdr:row>
      <xdr:rowOff>28575</xdr:rowOff>
    </xdr:from>
    <xdr:to>
      <xdr:col>5</xdr:col>
      <xdr:colOff>1028700</xdr:colOff>
      <xdr:row>101</xdr:row>
      <xdr:rowOff>161925</xdr:rowOff>
    </xdr:to>
    <xdr:pic>
      <xdr:nvPicPr>
        <xdr:cNvPr id="173437" name="Picture 3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81600" y="19192875"/>
          <a:ext cx="352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857250</xdr:colOff>
      <xdr:row>45</xdr:row>
      <xdr:rowOff>19050</xdr:rowOff>
    </xdr:from>
    <xdr:to>
      <xdr:col>3</xdr:col>
      <xdr:colOff>361950</xdr:colOff>
      <xdr:row>47</xdr:row>
      <xdr:rowOff>133350</xdr:rowOff>
    </xdr:to>
    <xdr:pic>
      <xdr:nvPicPr>
        <xdr:cNvPr id="173438" name="Picture 6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33575" y="9582150"/>
          <a:ext cx="647700"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866775</xdr:colOff>
      <xdr:row>44</xdr:row>
      <xdr:rowOff>95250</xdr:rowOff>
    </xdr:from>
    <xdr:to>
      <xdr:col>5</xdr:col>
      <xdr:colOff>371475</xdr:colOff>
      <xdr:row>47</xdr:row>
      <xdr:rowOff>114300</xdr:rowOff>
    </xdr:to>
    <xdr:pic>
      <xdr:nvPicPr>
        <xdr:cNvPr id="173439" name="Picture 6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229100" y="9563100"/>
          <a:ext cx="647700"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866775</xdr:colOff>
      <xdr:row>44</xdr:row>
      <xdr:rowOff>38100</xdr:rowOff>
    </xdr:from>
    <xdr:to>
      <xdr:col>7</xdr:col>
      <xdr:colOff>371475</xdr:colOff>
      <xdr:row>47</xdr:row>
      <xdr:rowOff>95250</xdr:rowOff>
    </xdr:to>
    <xdr:pic>
      <xdr:nvPicPr>
        <xdr:cNvPr id="173440" name="Picture 6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515100" y="9544050"/>
          <a:ext cx="647700"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352425</xdr:colOff>
      <xdr:row>45</xdr:row>
      <xdr:rowOff>66675</xdr:rowOff>
    </xdr:from>
    <xdr:to>
      <xdr:col>3</xdr:col>
      <xdr:colOff>1095375</xdr:colOff>
      <xdr:row>47</xdr:row>
      <xdr:rowOff>47625</xdr:rowOff>
    </xdr:to>
    <xdr:pic>
      <xdr:nvPicPr>
        <xdr:cNvPr id="173441" name="Picture 3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71750" y="9629775"/>
          <a:ext cx="7429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371475</xdr:colOff>
      <xdr:row>45</xdr:row>
      <xdr:rowOff>104775</xdr:rowOff>
    </xdr:from>
    <xdr:to>
      <xdr:col>5</xdr:col>
      <xdr:colOff>1114425</xdr:colOff>
      <xdr:row>47</xdr:row>
      <xdr:rowOff>85725</xdr:rowOff>
    </xdr:to>
    <xdr:pic>
      <xdr:nvPicPr>
        <xdr:cNvPr id="173442" name="Picture 3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76800" y="9667875"/>
          <a:ext cx="7429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295275</xdr:colOff>
      <xdr:row>47</xdr:row>
      <xdr:rowOff>95250</xdr:rowOff>
    </xdr:from>
    <xdr:to>
      <xdr:col>7</xdr:col>
      <xdr:colOff>1038225</xdr:colOff>
      <xdr:row>49</xdr:row>
      <xdr:rowOff>85725</xdr:rowOff>
    </xdr:to>
    <xdr:pic>
      <xdr:nvPicPr>
        <xdr:cNvPr id="173443" name="Picture 3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86600" y="9963150"/>
          <a:ext cx="7429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57150</xdr:colOff>
      <xdr:row>44</xdr:row>
      <xdr:rowOff>142875</xdr:rowOff>
    </xdr:from>
    <xdr:to>
      <xdr:col>6</xdr:col>
      <xdr:colOff>800100</xdr:colOff>
      <xdr:row>49</xdr:row>
      <xdr:rowOff>0</xdr:rowOff>
    </xdr:to>
    <xdr:pic>
      <xdr:nvPicPr>
        <xdr:cNvPr id="173444" name="Picture 95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05475" y="9563100"/>
          <a:ext cx="7429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314325</xdr:colOff>
      <xdr:row>44</xdr:row>
      <xdr:rowOff>9525</xdr:rowOff>
    </xdr:from>
    <xdr:to>
      <xdr:col>7</xdr:col>
      <xdr:colOff>962025</xdr:colOff>
      <xdr:row>47</xdr:row>
      <xdr:rowOff>66675</xdr:rowOff>
    </xdr:to>
    <xdr:pic>
      <xdr:nvPicPr>
        <xdr:cNvPr id="173445" name="Picture 6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05650" y="9515475"/>
          <a:ext cx="647700"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47625</xdr:colOff>
      <xdr:row>49</xdr:row>
      <xdr:rowOff>180975</xdr:rowOff>
    </xdr:from>
    <xdr:to>
      <xdr:col>10</xdr:col>
      <xdr:colOff>914400</xdr:colOff>
      <xdr:row>54</xdr:row>
      <xdr:rowOff>133350</xdr:rowOff>
    </xdr:to>
    <xdr:pic>
      <xdr:nvPicPr>
        <xdr:cNvPr id="173446" name="Picture 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953625" y="10306050"/>
          <a:ext cx="8667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685800</xdr:colOff>
      <xdr:row>99</xdr:row>
      <xdr:rowOff>47625</xdr:rowOff>
    </xdr:from>
    <xdr:to>
      <xdr:col>3</xdr:col>
      <xdr:colOff>1038225</xdr:colOff>
      <xdr:row>101</xdr:row>
      <xdr:rowOff>180975</xdr:rowOff>
    </xdr:to>
    <xdr:pic>
      <xdr:nvPicPr>
        <xdr:cNvPr id="173447" name="Picture 3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05125" y="19211925"/>
          <a:ext cx="352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781050</xdr:colOff>
      <xdr:row>99</xdr:row>
      <xdr:rowOff>28575</xdr:rowOff>
    </xdr:from>
    <xdr:to>
      <xdr:col>7</xdr:col>
      <xdr:colOff>1133475</xdr:colOff>
      <xdr:row>101</xdr:row>
      <xdr:rowOff>161925</xdr:rowOff>
    </xdr:to>
    <xdr:pic>
      <xdr:nvPicPr>
        <xdr:cNvPr id="173448" name="Picture 3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72375" y="19192875"/>
          <a:ext cx="352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419100</xdr:colOff>
      <xdr:row>99</xdr:row>
      <xdr:rowOff>28575</xdr:rowOff>
    </xdr:from>
    <xdr:to>
      <xdr:col>7</xdr:col>
      <xdr:colOff>771525</xdr:colOff>
      <xdr:row>101</xdr:row>
      <xdr:rowOff>161925</xdr:rowOff>
    </xdr:to>
    <xdr:pic>
      <xdr:nvPicPr>
        <xdr:cNvPr id="173449" name="Picture 3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10425" y="19192875"/>
          <a:ext cx="352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57150</xdr:colOff>
      <xdr:row>105</xdr:row>
      <xdr:rowOff>0</xdr:rowOff>
    </xdr:from>
    <xdr:to>
      <xdr:col>5</xdr:col>
      <xdr:colOff>1114425</xdr:colOff>
      <xdr:row>106</xdr:row>
      <xdr:rowOff>142875</xdr:rowOff>
    </xdr:to>
    <xdr:pic>
      <xdr:nvPicPr>
        <xdr:cNvPr id="173450" name="Picture 3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62475" y="20221575"/>
          <a:ext cx="1057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66675</xdr:colOff>
      <xdr:row>105</xdr:row>
      <xdr:rowOff>0</xdr:rowOff>
    </xdr:from>
    <xdr:to>
      <xdr:col>7</xdr:col>
      <xdr:colOff>1123950</xdr:colOff>
      <xdr:row>106</xdr:row>
      <xdr:rowOff>142875</xdr:rowOff>
    </xdr:to>
    <xdr:pic>
      <xdr:nvPicPr>
        <xdr:cNvPr id="173451" name="Picture 3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58000" y="20221575"/>
          <a:ext cx="1057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76200</xdr:colOff>
      <xdr:row>51</xdr:row>
      <xdr:rowOff>66675</xdr:rowOff>
    </xdr:from>
    <xdr:to>
      <xdr:col>7</xdr:col>
      <xdr:colOff>1066800</xdr:colOff>
      <xdr:row>54</xdr:row>
      <xdr:rowOff>76200</xdr:rowOff>
    </xdr:to>
    <xdr:pic>
      <xdr:nvPicPr>
        <xdr:cNvPr id="173452" name="Picture 4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525" y="10563225"/>
          <a:ext cx="990600"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104775</xdr:colOff>
      <xdr:row>51</xdr:row>
      <xdr:rowOff>95250</xdr:rowOff>
    </xdr:from>
    <xdr:to>
      <xdr:col>6</xdr:col>
      <xdr:colOff>1104900</xdr:colOff>
      <xdr:row>54</xdr:row>
      <xdr:rowOff>57150</xdr:rowOff>
    </xdr:to>
    <xdr:pic>
      <xdr:nvPicPr>
        <xdr:cNvPr id="173453" name="Picture 5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53100" y="10591800"/>
          <a:ext cx="1000125"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219075</xdr:colOff>
      <xdr:row>26</xdr:row>
      <xdr:rowOff>47625</xdr:rowOff>
    </xdr:from>
    <xdr:to>
      <xdr:col>3</xdr:col>
      <xdr:colOff>981075</xdr:colOff>
      <xdr:row>35</xdr:row>
      <xdr:rowOff>219075</xdr:rowOff>
    </xdr:to>
    <xdr:pic>
      <xdr:nvPicPr>
        <xdr:cNvPr id="173455" name="Picture 53" descr="enc_2_m"/>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95400" y="5867400"/>
          <a:ext cx="190500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26</xdr:row>
      <xdr:rowOff>19050</xdr:rowOff>
    </xdr:from>
    <xdr:to>
      <xdr:col>5</xdr:col>
      <xdr:colOff>1009650</xdr:colOff>
      <xdr:row>35</xdr:row>
      <xdr:rowOff>190500</xdr:rowOff>
    </xdr:to>
    <xdr:pic>
      <xdr:nvPicPr>
        <xdr:cNvPr id="173456" name="Picture 54" descr="enc_22_m"/>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09975" y="5838825"/>
          <a:ext cx="190500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390525</xdr:colOff>
      <xdr:row>26</xdr:row>
      <xdr:rowOff>28575</xdr:rowOff>
    </xdr:from>
    <xdr:to>
      <xdr:col>7</xdr:col>
      <xdr:colOff>809625</xdr:colOff>
      <xdr:row>35</xdr:row>
      <xdr:rowOff>200025</xdr:rowOff>
    </xdr:to>
    <xdr:pic>
      <xdr:nvPicPr>
        <xdr:cNvPr id="173457" name="Picture 5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38850" y="5848350"/>
          <a:ext cx="1562100" cy="21431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314325</xdr:colOff>
      <xdr:row>131</xdr:row>
      <xdr:rowOff>57150</xdr:rowOff>
    </xdr:from>
    <xdr:to>
      <xdr:col>10</xdr:col>
      <xdr:colOff>847725</xdr:colOff>
      <xdr:row>131</xdr:row>
      <xdr:rowOff>495300</xdr:rowOff>
    </xdr:to>
    <xdr:pic>
      <xdr:nvPicPr>
        <xdr:cNvPr id="173458" name="Picture 41" descr="GSM-mod-pric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220325" y="285940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133</xdr:row>
      <xdr:rowOff>57150</xdr:rowOff>
    </xdr:from>
    <xdr:to>
      <xdr:col>10</xdr:col>
      <xdr:colOff>847725</xdr:colOff>
      <xdr:row>133</xdr:row>
      <xdr:rowOff>495300</xdr:rowOff>
    </xdr:to>
    <xdr:pic>
      <xdr:nvPicPr>
        <xdr:cNvPr id="173459" name="Picture 41" descr="GSM-mod-pric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220325" y="297370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134</xdr:row>
      <xdr:rowOff>47625</xdr:rowOff>
    </xdr:from>
    <xdr:to>
      <xdr:col>10</xdr:col>
      <xdr:colOff>895350</xdr:colOff>
      <xdr:row>134</xdr:row>
      <xdr:rowOff>514350</xdr:rowOff>
    </xdr:to>
    <xdr:pic>
      <xdr:nvPicPr>
        <xdr:cNvPr id="173460" name="Picture 50" descr="&amp;Kcy;&amp;ocy;&amp;ncy;&amp;vcy;&amp;iecy;&amp;rcy;&amp;tcy;&amp;iecy;&amp;rcy; RS485-RS232"/>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096500" y="30299025"/>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136</xdr:row>
      <xdr:rowOff>38100</xdr:rowOff>
    </xdr:from>
    <xdr:to>
      <xdr:col>10</xdr:col>
      <xdr:colOff>800100</xdr:colOff>
      <xdr:row>136</xdr:row>
      <xdr:rowOff>542925</xdr:rowOff>
    </xdr:to>
    <xdr:pic>
      <xdr:nvPicPr>
        <xdr:cNvPr id="173461" name="Picture 45" descr="pp-1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287000" y="31432500"/>
          <a:ext cx="4191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135</xdr:row>
      <xdr:rowOff>57150</xdr:rowOff>
    </xdr:from>
    <xdr:to>
      <xdr:col>10</xdr:col>
      <xdr:colOff>895350</xdr:colOff>
      <xdr:row>135</xdr:row>
      <xdr:rowOff>523875</xdr:rowOff>
    </xdr:to>
    <xdr:pic>
      <xdr:nvPicPr>
        <xdr:cNvPr id="173462" name="Picture 50" descr="&amp;Kcy;&amp;ocy;&amp;ncy;&amp;vcy;&amp;iecy;&amp;rcy;&amp;tcy;&amp;iecy;&amp;rcy; RS485-RS232"/>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096500" y="3088005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137</xdr:row>
      <xdr:rowOff>28575</xdr:rowOff>
    </xdr:from>
    <xdr:to>
      <xdr:col>10</xdr:col>
      <xdr:colOff>857250</xdr:colOff>
      <xdr:row>137</xdr:row>
      <xdr:rowOff>552450</xdr:rowOff>
    </xdr:to>
    <xdr:pic>
      <xdr:nvPicPr>
        <xdr:cNvPr id="173463" name="Picture 47"/>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287000" y="31994475"/>
          <a:ext cx="476250" cy="5238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314325</xdr:colOff>
      <xdr:row>132</xdr:row>
      <xdr:rowOff>57150</xdr:rowOff>
    </xdr:from>
    <xdr:to>
      <xdr:col>10</xdr:col>
      <xdr:colOff>847725</xdr:colOff>
      <xdr:row>132</xdr:row>
      <xdr:rowOff>495300</xdr:rowOff>
    </xdr:to>
    <xdr:pic>
      <xdr:nvPicPr>
        <xdr:cNvPr id="173464" name="Picture 41" descr="GSM-mod-pric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220325" y="291655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132</xdr:row>
      <xdr:rowOff>57150</xdr:rowOff>
    </xdr:from>
    <xdr:to>
      <xdr:col>10</xdr:col>
      <xdr:colOff>847725</xdr:colOff>
      <xdr:row>132</xdr:row>
      <xdr:rowOff>495300</xdr:rowOff>
    </xdr:to>
    <xdr:pic>
      <xdr:nvPicPr>
        <xdr:cNvPr id="173467" name="Picture 41" descr="GSM-mod-pric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220325" y="291655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9525</xdr:colOff>
          <xdr:row>42</xdr:row>
          <xdr:rowOff>180975</xdr:rowOff>
        </xdr:from>
        <xdr:to>
          <xdr:col>3</xdr:col>
          <xdr:colOff>981075</xdr:colOff>
          <xdr:row>44</xdr:row>
          <xdr:rowOff>19050</xdr:rowOff>
        </xdr:to>
        <xdr:sp macro="" textlink="">
          <xdr:nvSpPr>
            <xdr:cNvPr id="27734" name="Check Box 86" hidden="1">
              <a:extLst>
                <a:ext uri="{63B3BB69-23CF-44E3-9099-C40C66FF867C}">
                  <a14:compatExt spid="_x0000_s277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Ответные фланцы, по заказу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180975</xdr:rowOff>
        </xdr:from>
        <xdr:to>
          <xdr:col>3</xdr:col>
          <xdr:colOff>1047750</xdr:colOff>
          <xdr:row>43</xdr:row>
          <xdr:rowOff>19050</xdr:rowOff>
        </xdr:to>
        <xdr:sp macro="" textlink="">
          <xdr:nvSpPr>
            <xdr:cNvPr id="27735" name="Check Box 87" hidden="1">
              <a:extLst>
                <a:ext uri="{63B3BB69-23CF-44E3-9099-C40C66FF867C}">
                  <a14:compatExt spid="_x0000_s277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Преобразователи давления, по заказу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180975</xdr:rowOff>
        </xdr:from>
        <xdr:to>
          <xdr:col>5</xdr:col>
          <xdr:colOff>1085850</xdr:colOff>
          <xdr:row>43</xdr:row>
          <xdr:rowOff>19050</xdr:rowOff>
        </xdr:to>
        <xdr:sp macro="" textlink="">
          <xdr:nvSpPr>
            <xdr:cNvPr id="27736" name="Check Box 88" hidden="1">
              <a:extLst>
                <a:ext uri="{63B3BB69-23CF-44E3-9099-C40C66FF867C}">
                  <a14:compatExt spid="_x0000_s277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Преобразователи давления, по заказу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180975</xdr:rowOff>
        </xdr:from>
        <xdr:to>
          <xdr:col>5</xdr:col>
          <xdr:colOff>1028700</xdr:colOff>
          <xdr:row>44</xdr:row>
          <xdr:rowOff>19050</xdr:rowOff>
        </xdr:to>
        <xdr:sp macro="" textlink="">
          <xdr:nvSpPr>
            <xdr:cNvPr id="27737" name="Check Box 89" hidden="1">
              <a:extLst>
                <a:ext uri="{63B3BB69-23CF-44E3-9099-C40C66FF867C}">
                  <a14:compatExt spid="_x0000_s277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Ответные фланцы, по заказу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43</xdr:row>
          <xdr:rowOff>0</xdr:rowOff>
        </xdr:from>
        <xdr:to>
          <xdr:col>7</xdr:col>
          <xdr:colOff>1000125</xdr:colOff>
          <xdr:row>44</xdr:row>
          <xdr:rowOff>28575</xdr:rowOff>
        </xdr:to>
        <xdr:sp macro="" textlink="">
          <xdr:nvSpPr>
            <xdr:cNvPr id="27740" name="Check Box 92" hidden="1">
              <a:extLst>
                <a:ext uri="{63B3BB69-23CF-44E3-9099-C40C66FF867C}">
                  <a14:compatExt spid="_x0000_s277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Ответные фланцы, по заказу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180975</xdr:rowOff>
        </xdr:from>
        <xdr:to>
          <xdr:col>7</xdr:col>
          <xdr:colOff>1000125</xdr:colOff>
          <xdr:row>43</xdr:row>
          <xdr:rowOff>19050</xdr:rowOff>
        </xdr:to>
        <xdr:sp macro="" textlink="">
          <xdr:nvSpPr>
            <xdr:cNvPr id="27741" name="Check Box 93" hidden="1">
              <a:extLst>
                <a:ext uri="{63B3BB69-23CF-44E3-9099-C40C66FF867C}">
                  <a14:compatExt spid="_x0000_s277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ea typeface="Tahoma"/>
                  <a:cs typeface="Tahoma"/>
                </a:rPr>
                <a:t>Преобразователи давления, по заказу</a:t>
              </a:r>
            </a:p>
          </xdr:txBody>
        </xdr:sp>
        <xdr:clientData fLocksWithSheet="0"/>
      </xdr:twoCellAnchor>
    </mc:Choice>
    <mc:Fallback/>
  </mc:AlternateContent>
  <xdr:twoCellAnchor editAs="oneCell">
    <xdr:from>
      <xdr:col>11</xdr:col>
      <xdr:colOff>95250</xdr:colOff>
      <xdr:row>50</xdr:row>
      <xdr:rowOff>85725</xdr:rowOff>
    </xdr:from>
    <xdr:to>
      <xdr:col>11</xdr:col>
      <xdr:colOff>876300</xdr:colOff>
      <xdr:row>54</xdr:row>
      <xdr:rowOff>66675</xdr:rowOff>
    </xdr:to>
    <xdr:pic>
      <xdr:nvPicPr>
        <xdr:cNvPr id="173468" name="Picture 94" descr="http://www.vera-1.ru/upload/medialibrary/ddd/ddd634b9cc7500de396d244ae4abc324.jpe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020425" y="10391775"/>
          <a:ext cx="781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132</xdr:row>
      <xdr:rowOff>57150</xdr:rowOff>
    </xdr:from>
    <xdr:to>
      <xdr:col>10</xdr:col>
      <xdr:colOff>847725</xdr:colOff>
      <xdr:row>132</xdr:row>
      <xdr:rowOff>495300</xdr:rowOff>
    </xdr:to>
    <xdr:pic>
      <xdr:nvPicPr>
        <xdr:cNvPr id="173469" name="Picture 41" descr="GSM-mod-pric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220325" y="29165550"/>
          <a:ext cx="5334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352425</xdr:colOff>
      <xdr:row>138</xdr:row>
      <xdr:rowOff>38100</xdr:rowOff>
    </xdr:from>
    <xdr:to>
      <xdr:col>10</xdr:col>
      <xdr:colOff>876300</xdr:colOff>
      <xdr:row>138</xdr:row>
      <xdr:rowOff>561975</xdr:rowOff>
    </xdr:to>
    <xdr:pic>
      <xdr:nvPicPr>
        <xdr:cNvPr id="173470" name="Рисунок 61" descr="https://img.vseinstrumenti.ru/images/goods/540389/300x300/910656.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258425" y="32575500"/>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361950</xdr:colOff>
      <xdr:row>139</xdr:row>
      <xdr:rowOff>28575</xdr:rowOff>
    </xdr:from>
    <xdr:to>
      <xdr:col>10</xdr:col>
      <xdr:colOff>885825</xdr:colOff>
      <xdr:row>139</xdr:row>
      <xdr:rowOff>552450</xdr:rowOff>
    </xdr:to>
    <xdr:pic>
      <xdr:nvPicPr>
        <xdr:cNvPr id="173471" name="Рисунок 62" descr="https://img.vseinstrumenti.ru/images/goods/540389/300x300/910656.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267950" y="3313747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156</xdr:row>
      <xdr:rowOff>123825</xdr:rowOff>
    </xdr:from>
    <xdr:to>
      <xdr:col>3</xdr:col>
      <xdr:colOff>819150</xdr:colOff>
      <xdr:row>168</xdr:row>
      <xdr:rowOff>85725</xdr:rowOff>
    </xdr:to>
    <xdr:pic>
      <xdr:nvPicPr>
        <xdr:cNvPr id="173472" name="Picture 3671"/>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80975" y="39890700"/>
          <a:ext cx="285750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144</xdr:row>
      <xdr:rowOff>76200</xdr:rowOff>
    </xdr:from>
    <xdr:to>
      <xdr:col>3</xdr:col>
      <xdr:colOff>819150</xdr:colOff>
      <xdr:row>156</xdr:row>
      <xdr:rowOff>28575</xdr:rowOff>
    </xdr:to>
    <xdr:pic>
      <xdr:nvPicPr>
        <xdr:cNvPr id="173473" name="Picture 3673"/>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0975" y="37899975"/>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1133475</xdr:colOff>
      <xdr:row>144</xdr:row>
      <xdr:rowOff>76200</xdr:rowOff>
    </xdr:from>
    <xdr:to>
      <xdr:col>6</xdr:col>
      <xdr:colOff>561975</xdr:colOff>
      <xdr:row>156</xdr:row>
      <xdr:rowOff>28575</xdr:rowOff>
    </xdr:to>
    <xdr:pic>
      <xdr:nvPicPr>
        <xdr:cNvPr id="173474" name="Picture 367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352800" y="37899975"/>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156</xdr:row>
      <xdr:rowOff>114300</xdr:rowOff>
    </xdr:from>
    <xdr:to>
      <xdr:col>6</xdr:col>
      <xdr:colOff>571500</xdr:colOff>
      <xdr:row>168</xdr:row>
      <xdr:rowOff>66675</xdr:rowOff>
    </xdr:to>
    <xdr:pic>
      <xdr:nvPicPr>
        <xdr:cNvPr id="173475" name="Picture 367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362325" y="39881175"/>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723900</xdr:colOff>
      <xdr:row>156</xdr:row>
      <xdr:rowOff>142875</xdr:rowOff>
    </xdr:from>
    <xdr:to>
      <xdr:col>10</xdr:col>
      <xdr:colOff>952500</xdr:colOff>
      <xdr:row>168</xdr:row>
      <xdr:rowOff>104775</xdr:rowOff>
    </xdr:to>
    <xdr:pic>
      <xdr:nvPicPr>
        <xdr:cNvPr id="173476" name="Picture 3680"/>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9591675" y="39909750"/>
          <a:ext cx="126682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923925</xdr:colOff>
      <xdr:row>144</xdr:row>
      <xdr:rowOff>76200</xdr:rowOff>
    </xdr:from>
    <xdr:to>
      <xdr:col>9</xdr:col>
      <xdr:colOff>561975</xdr:colOff>
      <xdr:row>156</xdr:row>
      <xdr:rowOff>28575</xdr:rowOff>
    </xdr:to>
    <xdr:pic>
      <xdr:nvPicPr>
        <xdr:cNvPr id="173477" name="Picture 3682"/>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72250" y="37899975"/>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923925</xdr:colOff>
      <xdr:row>156</xdr:row>
      <xdr:rowOff>133350</xdr:rowOff>
    </xdr:from>
    <xdr:to>
      <xdr:col>9</xdr:col>
      <xdr:colOff>561975</xdr:colOff>
      <xdr:row>168</xdr:row>
      <xdr:rowOff>85725</xdr:rowOff>
    </xdr:to>
    <xdr:pic>
      <xdr:nvPicPr>
        <xdr:cNvPr id="173478" name="Picture 3684"/>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572250" y="39900225"/>
          <a:ext cx="28575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714375</xdr:colOff>
      <xdr:row>144</xdr:row>
      <xdr:rowOff>95250</xdr:rowOff>
    </xdr:from>
    <xdr:to>
      <xdr:col>10</xdr:col>
      <xdr:colOff>942975</xdr:colOff>
      <xdr:row>156</xdr:row>
      <xdr:rowOff>57150</xdr:rowOff>
    </xdr:to>
    <xdr:pic>
      <xdr:nvPicPr>
        <xdr:cNvPr id="173479" name="Picture 3686"/>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582150" y="37919025"/>
          <a:ext cx="126682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45</xdr:row>
      <xdr:rowOff>0</xdr:rowOff>
    </xdr:from>
    <xdr:to>
      <xdr:col>2</xdr:col>
      <xdr:colOff>828675</xdr:colOff>
      <xdr:row>49</xdr:row>
      <xdr:rowOff>0</xdr:rowOff>
    </xdr:to>
    <xdr:pic>
      <xdr:nvPicPr>
        <xdr:cNvPr id="173480" name="Picture 95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62050" y="9563100"/>
          <a:ext cx="7429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4</xdr:col>
      <xdr:colOff>47625</xdr:colOff>
      <xdr:row>45</xdr:row>
      <xdr:rowOff>0</xdr:rowOff>
    </xdr:from>
    <xdr:to>
      <xdr:col>4</xdr:col>
      <xdr:colOff>790575</xdr:colOff>
      <xdr:row>49</xdr:row>
      <xdr:rowOff>0</xdr:rowOff>
    </xdr:to>
    <xdr:pic>
      <xdr:nvPicPr>
        <xdr:cNvPr id="173481" name="Picture 95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409950" y="9563100"/>
          <a:ext cx="7429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57150</xdr:colOff>
          <xdr:row>39</xdr:row>
          <xdr:rowOff>9525</xdr:rowOff>
        </xdr:from>
        <xdr:to>
          <xdr:col>3</xdr:col>
          <xdr:colOff>257175</xdr:colOff>
          <xdr:row>40</xdr:row>
          <xdr:rowOff>28575</xdr:rowOff>
        </xdr:to>
        <xdr:sp macro="" textlink="">
          <xdr:nvSpPr>
            <xdr:cNvPr id="138973" name="Drop Down 7901" hidden="1">
              <a:extLst>
                <a:ext uri="{63B3BB69-23CF-44E3-9099-C40C66FF867C}">
                  <a14:compatExt spid="_x0000_s1389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39</xdr:row>
          <xdr:rowOff>19050</xdr:rowOff>
        </xdr:from>
        <xdr:to>
          <xdr:col>5</xdr:col>
          <xdr:colOff>257175</xdr:colOff>
          <xdr:row>40</xdr:row>
          <xdr:rowOff>38100</xdr:rowOff>
        </xdr:to>
        <xdr:sp macro="" textlink="">
          <xdr:nvSpPr>
            <xdr:cNvPr id="139028" name="Drop Down 7956" hidden="1">
              <a:extLst>
                <a:ext uri="{63B3BB69-23CF-44E3-9099-C40C66FF867C}">
                  <a14:compatExt spid="_x0000_s139028"/>
                </a:ext>
              </a:extLst>
            </xdr:cNvPr>
            <xdr:cNvSpPr/>
          </xdr:nvSpPr>
          <xdr:spPr>
            <a:xfrm>
              <a:off x="0" y="0"/>
              <a:ext cx="0" cy="0"/>
            </a:xfrm>
            <a:prstGeom prst="rect">
              <a:avLst/>
            </a:prstGeom>
          </xdr:spPr>
        </xdr:sp>
        <xdr:clientData fLocksWithSheet="0"/>
      </xdr:twoCellAnchor>
    </mc:Choice>
    <mc:Fallback/>
  </mc:AlternateContent>
  <xdr:twoCellAnchor editAs="oneCell">
    <xdr:from>
      <xdr:col>4</xdr:col>
      <xdr:colOff>419099</xdr:colOff>
      <xdr:row>1</xdr:row>
      <xdr:rowOff>12924</xdr:rowOff>
    </xdr:from>
    <xdr:to>
      <xdr:col>5</xdr:col>
      <xdr:colOff>1095374</xdr:colOff>
      <xdr:row>1</xdr:row>
      <xdr:rowOff>1971675</xdr:rowOff>
    </xdr:to>
    <xdr:sp macro="" textlink="">
      <xdr:nvSpPr>
        <xdr:cNvPr id="64" name="TextBox 63"/>
        <xdr:cNvSpPr txBox="1">
          <a:spLocks noChangeArrowheads="1"/>
        </xdr:cNvSpPr>
      </xdr:nvSpPr>
      <xdr:spPr bwMode="auto">
        <a:xfrm flipH="1">
          <a:off x="3781424" y="298674"/>
          <a:ext cx="1819275" cy="1958751"/>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baseline="0">
              <a:effectLst/>
              <a:latin typeface="Arial" panose="020B0604020202020204" pitchFamily="34" charset="0"/>
              <a:ea typeface="+mn-ea"/>
              <a:cs typeface="Arial" panose="020B0604020202020204" pitchFamily="34" charset="0"/>
            </a:rPr>
            <a:t>К</a:t>
          </a:r>
          <a:r>
            <a:rPr lang="ru-RU" sz="900" b="0" i="0" baseline="0">
              <a:effectLst/>
              <a:latin typeface="Arial" panose="020B0604020202020204" pitchFamily="34" charset="0"/>
              <a:ea typeface="+mn-ea"/>
              <a:cs typeface="Arial" panose="020B0604020202020204" pitchFamily="34" charset="0"/>
            </a:rPr>
            <a:t>азань (843)206-01-48</a:t>
          </a:r>
          <a:endParaRPr lang="ru-RU" sz="9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алининград (4012)72-03-81 </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алуга (4842)92-23-67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емерово (3842)65-04-62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иров (8332)68-02-04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раснодар (861)203-40-90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расноярск (391)204-63-61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урск (4712)77-13-04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Л</a:t>
          </a:r>
          <a:r>
            <a:rPr lang="ru-RU" sz="900" b="0" i="0" u="none" strike="noStrike" baseline="0">
              <a:solidFill>
                <a:srgbClr val="000000"/>
              </a:solidFill>
              <a:latin typeface="Arial" panose="020B0604020202020204" pitchFamily="34" charset="0"/>
              <a:cs typeface="Arial" panose="020B0604020202020204" pitchFamily="34" charset="0"/>
            </a:rPr>
            <a:t>ипецк (4742)52-20-81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агнитогорск (3519)55-03-13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осква (495)268-04-70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урманск (8152)59-64-93</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азахстан (772) 734-952-31</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8</xdr:col>
      <xdr:colOff>9526</xdr:colOff>
      <xdr:row>1</xdr:row>
      <xdr:rowOff>0</xdr:rowOff>
    </xdr:from>
    <xdr:to>
      <xdr:col>9</xdr:col>
      <xdr:colOff>828675</xdr:colOff>
      <xdr:row>1</xdr:row>
      <xdr:rowOff>1821253</xdr:rowOff>
    </xdr:to>
    <xdr:sp macro="" textlink="">
      <xdr:nvSpPr>
        <xdr:cNvPr id="65" name="TextBox 64"/>
        <xdr:cNvSpPr txBox="1">
          <a:spLocks noChangeArrowheads="1"/>
        </xdr:cNvSpPr>
      </xdr:nvSpPr>
      <xdr:spPr bwMode="auto">
        <a:xfrm>
          <a:off x="7943851" y="285750"/>
          <a:ext cx="1752599" cy="1821253"/>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С</a:t>
          </a:r>
          <a:r>
            <a:rPr lang="ru-RU" sz="900" b="0" i="0" baseline="0">
              <a:effectLst/>
              <a:latin typeface="Arial" panose="020B0604020202020204" pitchFamily="34" charset="0"/>
              <a:ea typeface="+mn-ea"/>
              <a:cs typeface="Arial" panose="020B0604020202020204" pitchFamily="34" charset="0"/>
            </a:rPr>
            <a:t>аратов (845)249-38-78</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моленск (4812)29-41-54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очи (862)225-72-31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таврополь (8652)20-65-13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верь (4822)63-31-35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омск (3822)98-41-53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ула (4872)74-02-29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юмень (3452)66-21-18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льяновск (8422)24-23-59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фа (347)229-48-12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елябинск (351)202-03-61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ереповец (8202)49-02-64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Я</a:t>
          </a:r>
          <a:r>
            <a:rPr lang="ru-RU" sz="900" b="0" i="0" u="none" strike="noStrike" baseline="0">
              <a:solidFill>
                <a:srgbClr val="000000"/>
              </a:solidFill>
              <a:latin typeface="Arial" panose="020B0604020202020204" pitchFamily="34" charset="0"/>
              <a:cs typeface="Arial" panose="020B0604020202020204" pitchFamily="34" charset="0"/>
            </a:rPr>
            <a:t>рославль (4852)69-52-93</a:t>
          </a:r>
        </a:p>
      </xdr:txBody>
    </xdr:sp>
    <xdr:clientData/>
  </xdr:twoCellAnchor>
  <xdr:twoCellAnchor editAs="oneCell">
    <xdr:from>
      <xdr:col>6</xdr:col>
      <xdr:colOff>19050</xdr:colOff>
      <xdr:row>1</xdr:row>
      <xdr:rowOff>3402</xdr:rowOff>
    </xdr:from>
    <xdr:to>
      <xdr:col>7</xdr:col>
      <xdr:colOff>1085850</xdr:colOff>
      <xdr:row>1</xdr:row>
      <xdr:rowOff>1996136</xdr:rowOff>
    </xdr:to>
    <xdr:sp macro="" textlink="">
      <xdr:nvSpPr>
        <xdr:cNvPr id="66" name="TextBox 65"/>
        <xdr:cNvSpPr txBox="1">
          <a:spLocks noChangeArrowheads="1"/>
        </xdr:cNvSpPr>
      </xdr:nvSpPr>
      <xdr:spPr bwMode="auto">
        <a:xfrm>
          <a:off x="5667375" y="289152"/>
          <a:ext cx="2209800" cy="1992734"/>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Н</a:t>
          </a:r>
          <a:r>
            <a:rPr lang="ru-RU" sz="900" b="0" i="0" baseline="0">
              <a:effectLst/>
              <a:latin typeface="Arial" panose="020B0604020202020204" pitchFamily="34" charset="0"/>
              <a:ea typeface="+mn-ea"/>
              <a:cs typeface="Arial" panose="020B0604020202020204" pitchFamily="34" charset="0"/>
            </a:rPr>
            <a:t>абережные Челны (8552)20-53-41</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ижний Новгород (831)429-08-12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овокузнецк (3843)20-46-81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овосибирск (383)227-86-73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рел (4862)44-53-42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ренбург (3532)37-68-04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енза (8412)22-31-16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ермь (342)205-81-47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остов-на-Дону (863)308-18-15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язань (4912)46-61-64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амара (846)206-03-16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анкт-Петербург (812)309-46-40</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Таджикистан (992) 427-82-92-69</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2</xdr:col>
      <xdr:colOff>895350</xdr:colOff>
      <xdr:row>1</xdr:row>
      <xdr:rowOff>22904</xdr:rowOff>
    </xdr:from>
    <xdr:to>
      <xdr:col>4</xdr:col>
      <xdr:colOff>447676</xdr:colOff>
      <xdr:row>1</xdr:row>
      <xdr:rowOff>2051866</xdr:rowOff>
    </xdr:to>
    <xdr:sp macro="" textlink="">
      <xdr:nvSpPr>
        <xdr:cNvPr id="67" name="TextBox 66"/>
        <xdr:cNvSpPr txBox="1">
          <a:spLocks noChangeArrowheads="1"/>
        </xdr:cNvSpPr>
      </xdr:nvSpPr>
      <xdr:spPr bwMode="auto">
        <a:xfrm>
          <a:off x="1971675" y="308654"/>
          <a:ext cx="1838326" cy="2028962"/>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рхангельск (8182)63-90-72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стана +7(7172)727-132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елгород (4722)40-23-64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рянск (4832)59-03-52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ладивосток (423)249-28-31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олгоград (844)278-03-48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ологда (8172)26-41-59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оронеж (473)204-51-73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Е</a:t>
          </a:r>
          <a:r>
            <a:rPr lang="ru-RU" sz="900" b="0" i="0" u="none" strike="noStrike" baseline="0">
              <a:solidFill>
                <a:srgbClr val="000000"/>
              </a:solidFill>
              <a:latin typeface="Arial" panose="020B0604020202020204" pitchFamily="34" charset="0"/>
              <a:cs typeface="Arial" panose="020B0604020202020204" pitchFamily="34" charset="0"/>
            </a:rPr>
            <a:t>катеринбург (343)384-55-89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ваново (4932)77-34-06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жевск (3412)26-03-58</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Иркутск (395) 279-98-46</a:t>
          </a:r>
        </a:p>
        <a:p>
          <a:pPr algn="l" rtl="0">
            <a:defRPr sz="1000"/>
          </a:pP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иргизия (996) 312-96-26-47</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142875</xdr:colOff>
      <xdr:row>95</xdr:row>
      <xdr:rowOff>95250</xdr:rowOff>
    </xdr:from>
    <xdr:to>
      <xdr:col>1</xdr:col>
      <xdr:colOff>1000125</xdr:colOff>
      <xdr:row>97</xdr:row>
      <xdr:rowOff>95250</xdr:rowOff>
    </xdr:to>
    <xdr:pic>
      <xdr:nvPicPr>
        <xdr:cNvPr id="171878" name="Picture 2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2536150"/>
          <a:ext cx="857250" cy="3810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1171575</xdr:colOff>
      <xdr:row>94</xdr:row>
      <xdr:rowOff>85725</xdr:rowOff>
    </xdr:from>
    <xdr:to>
      <xdr:col>2</xdr:col>
      <xdr:colOff>542925</xdr:colOff>
      <xdr:row>97</xdr:row>
      <xdr:rowOff>104775</xdr:rowOff>
    </xdr:to>
    <xdr:pic>
      <xdr:nvPicPr>
        <xdr:cNvPr id="171879" name="Picture 2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4925" y="22336125"/>
          <a:ext cx="895350" cy="5905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76200</xdr:colOff>
      <xdr:row>75</xdr:row>
      <xdr:rowOff>38100</xdr:rowOff>
    </xdr:from>
    <xdr:to>
      <xdr:col>10</xdr:col>
      <xdr:colOff>666750</xdr:colOff>
      <xdr:row>77</xdr:row>
      <xdr:rowOff>85725</xdr:rowOff>
    </xdr:to>
    <xdr:pic>
      <xdr:nvPicPr>
        <xdr:cNvPr id="171880" name="Picture 8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0" y="18087975"/>
          <a:ext cx="590550" cy="46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781050</xdr:colOff>
      <xdr:row>75</xdr:row>
      <xdr:rowOff>19050</xdr:rowOff>
    </xdr:from>
    <xdr:to>
      <xdr:col>10</xdr:col>
      <xdr:colOff>981075</xdr:colOff>
      <xdr:row>77</xdr:row>
      <xdr:rowOff>95250</xdr:rowOff>
    </xdr:to>
    <xdr:pic>
      <xdr:nvPicPr>
        <xdr:cNvPr id="171881" name="Picture 8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86750" y="18068925"/>
          <a:ext cx="20002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200025</xdr:colOff>
      <xdr:row>55</xdr:row>
      <xdr:rowOff>28575</xdr:rowOff>
    </xdr:from>
    <xdr:to>
      <xdr:col>10</xdr:col>
      <xdr:colOff>838200</xdr:colOff>
      <xdr:row>57</xdr:row>
      <xdr:rowOff>114300</xdr:rowOff>
    </xdr:to>
    <xdr:pic>
      <xdr:nvPicPr>
        <xdr:cNvPr id="171882" name="Picture 8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705725" y="12868275"/>
          <a:ext cx="638175"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257175</xdr:colOff>
      <xdr:row>67</xdr:row>
      <xdr:rowOff>28575</xdr:rowOff>
    </xdr:from>
    <xdr:to>
      <xdr:col>10</xdr:col>
      <xdr:colOff>723900</xdr:colOff>
      <xdr:row>69</xdr:row>
      <xdr:rowOff>123825</xdr:rowOff>
    </xdr:to>
    <xdr:pic>
      <xdr:nvPicPr>
        <xdr:cNvPr id="171883" name="Picture 89"/>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62875" y="16297275"/>
          <a:ext cx="466725" cy="5143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304800</xdr:colOff>
      <xdr:row>86</xdr:row>
      <xdr:rowOff>104775</xdr:rowOff>
    </xdr:from>
    <xdr:to>
      <xdr:col>2</xdr:col>
      <xdr:colOff>476250</xdr:colOff>
      <xdr:row>89</xdr:row>
      <xdr:rowOff>76200</xdr:rowOff>
    </xdr:to>
    <xdr:pic>
      <xdr:nvPicPr>
        <xdr:cNvPr id="171884" name="Picture 3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8150" y="20774025"/>
          <a:ext cx="1695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57150</xdr:colOff>
      <xdr:row>17</xdr:row>
      <xdr:rowOff>38100</xdr:rowOff>
    </xdr:from>
    <xdr:to>
      <xdr:col>10</xdr:col>
      <xdr:colOff>381000</xdr:colOff>
      <xdr:row>18</xdr:row>
      <xdr:rowOff>171450</xdr:rowOff>
    </xdr:to>
    <xdr:pic>
      <xdr:nvPicPr>
        <xdr:cNvPr id="171885" name="Picture 8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62850" y="430530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11</xdr:col>
      <xdr:colOff>295275</xdr:colOff>
      <xdr:row>15</xdr:row>
      <xdr:rowOff>47625</xdr:rowOff>
    </xdr:from>
    <xdr:to>
      <xdr:col>11</xdr:col>
      <xdr:colOff>895350</xdr:colOff>
      <xdr:row>16</xdr:row>
      <xdr:rowOff>152400</xdr:rowOff>
    </xdr:to>
    <xdr:pic>
      <xdr:nvPicPr>
        <xdr:cNvPr id="171886" name="Picture 9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91575" y="3933825"/>
          <a:ext cx="6000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13</xdr:col>
      <xdr:colOff>390525</xdr:colOff>
      <xdr:row>17</xdr:row>
      <xdr:rowOff>28575</xdr:rowOff>
    </xdr:from>
    <xdr:to>
      <xdr:col>13</xdr:col>
      <xdr:colOff>990600</xdr:colOff>
      <xdr:row>18</xdr:row>
      <xdr:rowOff>142875</xdr:rowOff>
    </xdr:to>
    <xdr:pic>
      <xdr:nvPicPr>
        <xdr:cNvPr id="171887" name="Picture 93" descr="&amp;Kcy;&amp;acy;&amp;bcy;&amp;iecy;&amp;lcy;&amp;softcy; &amp;scy;&amp;ocy;&amp;iecy;&amp;dcy;&amp;icy;&amp;ncy;&amp;icy;&amp;tcy;&amp;iecy;&amp;lcy;&amp;softcy;&amp;ncy;&amp;ycy;&amp;jcy;"/>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34675" y="4295775"/>
          <a:ext cx="6000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828675</xdr:colOff>
      <xdr:row>15</xdr:row>
      <xdr:rowOff>47625</xdr:rowOff>
    </xdr:from>
    <xdr:to>
      <xdr:col>11</xdr:col>
      <xdr:colOff>161925</xdr:colOff>
      <xdr:row>16</xdr:row>
      <xdr:rowOff>180975</xdr:rowOff>
    </xdr:to>
    <xdr:pic>
      <xdr:nvPicPr>
        <xdr:cNvPr id="171888" name="Picture 8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34375" y="393382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11</xdr:col>
      <xdr:colOff>923925</xdr:colOff>
      <xdr:row>21</xdr:row>
      <xdr:rowOff>28575</xdr:rowOff>
    </xdr:from>
    <xdr:to>
      <xdr:col>12</xdr:col>
      <xdr:colOff>142875</xdr:colOff>
      <xdr:row>22</xdr:row>
      <xdr:rowOff>161925</xdr:rowOff>
    </xdr:to>
    <xdr:pic>
      <xdr:nvPicPr>
        <xdr:cNvPr id="171889" name="Picture 8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20225" y="505777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11</xdr:col>
      <xdr:colOff>266700</xdr:colOff>
      <xdr:row>21</xdr:row>
      <xdr:rowOff>19050</xdr:rowOff>
    </xdr:from>
    <xdr:to>
      <xdr:col>11</xdr:col>
      <xdr:colOff>866775</xdr:colOff>
      <xdr:row>22</xdr:row>
      <xdr:rowOff>123825</xdr:rowOff>
    </xdr:to>
    <xdr:pic>
      <xdr:nvPicPr>
        <xdr:cNvPr id="171890" name="Picture 9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00" y="5048250"/>
          <a:ext cx="6000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609600</xdr:colOff>
      <xdr:row>21</xdr:row>
      <xdr:rowOff>28575</xdr:rowOff>
    </xdr:from>
    <xdr:to>
      <xdr:col>11</xdr:col>
      <xdr:colOff>219075</xdr:colOff>
      <xdr:row>22</xdr:row>
      <xdr:rowOff>133350</xdr:rowOff>
    </xdr:to>
    <xdr:pic>
      <xdr:nvPicPr>
        <xdr:cNvPr id="171891" name="Picture 9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15300" y="5057775"/>
          <a:ext cx="6000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13</xdr:col>
      <xdr:colOff>390525</xdr:colOff>
      <xdr:row>19</xdr:row>
      <xdr:rowOff>38100</xdr:rowOff>
    </xdr:from>
    <xdr:to>
      <xdr:col>13</xdr:col>
      <xdr:colOff>990600</xdr:colOff>
      <xdr:row>20</xdr:row>
      <xdr:rowOff>152400</xdr:rowOff>
    </xdr:to>
    <xdr:pic>
      <xdr:nvPicPr>
        <xdr:cNvPr id="171892" name="Picture 98" descr="&amp;Kcy;&amp;acy;&amp;bcy;&amp;iecy;&amp;lcy;&amp;softcy; &amp;scy;&amp;ocy;&amp;iecy;&amp;dcy;&amp;icy;&amp;ncy;&amp;icy;&amp;tcy;&amp;iecy;&amp;lcy;&amp;softcy;&amp;ncy;&amp;ycy;&amp;jcy;"/>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34675" y="4686300"/>
          <a:ext cx="6000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714375</xdr:colOff>
      <xdr:row>15</xdr:row>
      <xdr:rowOff>38100</xdr:rowOff>
    </xdr:from>
    <xdr:to>
      <xdr:col>13</xdr:col>
      <xdr:colOff>295275</xdr:colOff>
      <xdr:row>16</xdr:row>
      <xdr:rowOff>171450</xdr:rowOff>
    </xdr:to>
    <xdr:pic>
      <xdr:nvPicPr>
        <xdr:cNvPr id="171893" name="Picture 8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315575" y="392430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609600</xdr:colOff>
      <xdr:row>19</xdr:row>
      <xdr:rowOff>19050</xdr:rowOff>
    </xdr:from>
    <xdr:to>
      <xdr:col>11</xdr:col>
      <xdr:colOff>219075</xdr:colOff>
      <xdr:row>20</xdr:row>
      <xdr:rowOff>114300</xdr:rowOff>
    </xdr:to>
    <xdr:pic>
      <xdr:nvPicPr>
        <xdr:cNvPr id="171894" name="Picture 99"/>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15300" y="4667250"/>
          <a:ext cx="60007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13</xdr:col>
      <xdr:colOff>361950</xdr:colOff>
      <xdr:row>15</xdr:row>
      <xdr:rowOff>38100</xdr:rowOff>
    </xdr:from>
    <xdr:to>
      <xdr:col>13</xdr:col>
      <xdr:colOff>962025</xdr:colOff>
      <xdr:row>16</xdr:row>
      <xdr:rowOff>152400</xdr:rowOff>
    </xdr:to>
    <xdr:pic>
      <xdr:nvPicPr>
        <xdr:cNvPr id="171895" name="Picture 101" descr="&amp;Kcy;&amp;acy;&amp;bcy;&amp;iecy;&amp;lcy;&amp;softcy; &amp;scy;&amp;ocy;&amp;iecy;&amp;dcy;&amp;icy;&amp;ncy;&amp;icy;&amp;tcy;&amp;iecy;&amp;lcy;&amp;softcy;&amp;ncy;&amp;ycy;&amp;jcy;"/>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06100" y="3924300"/>
          <a:ext cx="6000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914400</xdr:colOff>
      <xdr:row>15</xdr:row>
      <xdr:rowOff>28575</xdr:rowOff>
    </xdr:from>
    <xdr:to>
      <xdr:col>12</xdr:col>
      <xdr:colOff>133350</xdr:colOff>
      <xdr:row>16</xdr:row>
      <xdr:rowOff>161925</xdr:rowOff>
    </xdr:to>
    <xdr:pic>
      <xdr:nvPicPr>
        <xdr:cNvPr id="171896" name="Picture 8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10700" y="391477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247650</xdr:colOff>
      <xdr:row>15</xdr:row>
      <xdr:rowOff>57150</xdr:rowOff>
    </xdr:from>
    <xdr:to>
      <xdr:col>12</xdr:col>
      <xdr:colOff>666750</xdr:colOff>
      <xdr:row>16</xdr:row>
      <xdr:rowOff>133350</xdr:rowOff>
    </xdr:to>
    <xdr:pic>
      <xdr:nvPicPr>
        <xdr:cNvPr id="171897" name="Picture 6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848850" y="3943350"/>
          <a:ext cx="419100" cy="2667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561975</xdr:colOff>
      <xdr:row>17</xdr:row>
      <xdr:rowOff>19050</xdr:rowOff>
    </xdr:from>
    <xdr:to>
      <xdr:col>9</xdr:col>
      <xdr:colOff>933450</xdr:colOff>
      <xdr:row>18</xdr:row>
      <xdr:rowOff>133350</xdr:rowOff>
    </xdr:to>
    <xdr:pic>
      <xdr:nvPicPr>
        <xdr:cNvPr id="171898" name="Picture 95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124700" y="4286250"/>
          <a:ext cx="3714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533400</xdr:colOff>
      <xdr:row>19</xdr:row>
      <xdr:rowOff>19050</xdr:rowOff>
    </xdr:from>
    <xdr:to>
      <xdr:col>9</xdr:col>
      <xdr:colOff>933450</xdr:colOff>
      <xdr:row>20</xdr:row>
      <xdr:rowOff>161925</xdr:rowOff>
    </xdr:to>
    <xdr:pic>
      <xdr:nvPicPr>
        <xdr:cNvPr id="171899" name="Picture 95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096125" y="4667250"/>
          <a:ext cx="4000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323850</xdr:colOff>
      <xdr:row>21</xdr:row>
      <xdr:rowOff>38100</xdr:rowOff>
    </xdr:from>
    <xdr:to>
      <xdr:col>8</xdr:col>
      <xdr:colOff>695325</xdr:colOff>
      <xdr:row>22</xdr:row>
      <xdr:rowOff>152400</xdr:rowOff>
    </xdr:to>
    <xdr:pic>
      <xdr:nvPicPr>
        <xdr:cNvPr id="171900" name="Picture 95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105525" y="5067300"/>
          <a:ext cx="3714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371475</xdr:colOff>
      <xdr:row>15</xdr:row>
      <xdr:rowOff>28575</xdr:rowOff>
    </xdr:from>
    <xdr:to>
      <xdr:col>10</xdr:col>
      <xdr:colOff>762000</xdr:colOff>
      <xdr:row>16</xdr:row>
      <xdr:rowOff>161925</xdr:rowOff>
    </xdr:to>
    <xdr:pic>
      <xdr:nvPicPr>
        <xdr:cNvPr id="171901" name="Picture 95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877175" y="3914775"/>
          <a:ext cx="390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695325</xdr:colOff>
      <xdr:row>21</xdr:row>
      <xdr:rowOff>28575</xdr:rowOff>
    </xdr:from>
    <xdr:to>
      <xdr:col>9</xdr:col>
      <xdr:colOff>238125</xdr:colOff>
      <xdr:row>22</xdr:row>
      <xdr:rowOff>161925</xdr:rowOff>
    </xdr:to>
    <xdr:pic>
      <xdr:nvPicPr>
        <xdr:cNvPr id="171902" name="Picture 8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77000" y="505777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76200</xdr:colOff>
      <xdr:row>19</xdr:row>
      <xdr:rowOff>28575</xdr:rowOff>
    </xdr:from>
    <xdr:to>
      <xdr:col>10</xdr:col>
      <xdr:colOff>400050</xdr:colOff>
      <xdr:row>20</xdr:row>
      <xdr:rowOff>161925</xdr:rowOff>
    </xdr:to>
    <xdr:pic>
      <xdr:nvPicPr>
        <xdr:cNvPr id="171903" name="Picture 8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81900" y="467677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11</xdr:col>
      <xdr:colOff>285750</xdr:colOff>
      <xdr:row>19</xdr:row>
      <xdr:rowOff>28575</xdr:rowOff>
    </xdr:from>
    <xdr:to>
      <xdr:col>11</xdr:col>
      <xdr:colOff>885825</xdr:colOff>
      <xdr:row>20</xdr:row>
      <xdr:rowOff>123825</xdr:rowOff>
    </xdr:to>
    <xdr:pic>
      <xdr:nvPicPr>
        <xdr:cNvPr id="171904" name="Picture 99"/>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782050" y="4676775"/>
          <a:ext cx="60007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609600</xdr:colOff>
      <xdr:row>17</xdr:row>
      <xdr:rowOff>28575</xdr:rowOff>
    </xdr:from>
    <xdr:to>
      <xdr:col>11</xdr:col>
      <xdr:colOff>219075</xdr:colOff>
      <xdr:row>18</xdr:row>
      <xdr:rowOff>133350</xdr:rowOff>
    </xdr:to>
    <xdr:pic>
      <xdr:nvPicPr>
        <xdr:cNvPr id="171905" name="Picture 9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15300" y="4295775"/>
          <a:ext cx="6000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11</xdr:col>
      <xdr:colOff>285750</xdr:colOff>
      <xdr:row>17</xdr:row>
      <xdr:rowOff>38100</xdr:rowOff>
    </xdr:from>
    <xdr:to>
      <xdr:col>11</xdr:col>
      <xdr:colOff>885825</xdr:colOff>
      <xdr:row>18</xdr:row>
      <xdr:rowOff>142875</xdr:rowOff>
    </xdr:to>
    <xdr:pic>
      <xdr:nvPicPr>
        <xdr:cNvPr id="171906" name="Picture 9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82050" y="4305300"/>
          <a:ext cx="6000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11</xdr:col>
      <xdr:colOff>933450</xdr:colOff>
      <xdr:row>17</xdr:row>
      <xdr:rowOff>19050</xdr:rowOff>
    </xdr:from>
    <xdr:to>
      <xdr:col>12</xdr:col>
      <xdr:colOff>152400</xdr:colOff>
      <xdr:row>18</xdr:row>
      <xdr:rowOff>152400</xdr:rowOff>
    </xdr:to>
    <xdr:pic>
      <xdr:nvPicPr>
        <xdr:cNvPr id="171907" name="Picture 8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29750" y="428625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11</xdr:col>
      <xdr:colOff>933450</xdr:colOff>
      <xdr:row>19</xdr:row>
      <xdr:rowOff>19050</xdr:rowOff>
    </xdr:from>
    <xdr:to>
      <xdr:col>12</xdr:col>
      <xdr:colOff>152400</xdr:colOff>
      <xdr:row>20</xdr:row>
      <xdr:rowOff>152400</xdr:rowOff>
    </xdr:to>
    <xdr:pic>
      <xdr:nvPicPr>
        <xdr:cNvPr id="171908" name="Picture 8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29750" y="466725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276225</xdr:colOff>
      <xdr:row>17</xdr:row>
      <xdr:rowOff>47625</xdr:rowOff>
    </xdr:from>
    <xdr:to>
      <xdr:col>12</xdr:col>
      <xdr:colOff>695325</xdr:colOff>
      <xdr:row>18</xdr:row>
      <xdr:rowOff>123825</xdr:rowOff>
    </xdr:to>
    <xdr:pic>
      <xdr:nvPicPr>
        <xdr:cNvPr id="171909" name="Picture 6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877425" y="4314825"/>
          <a:ext cx="419100" cy="2667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285750</xdr:colOff>
      <xdr:row>19</xdr:row>
      <xdr:rowOff>38100</xdr:rowOff>
    </xdr:from>
    <xdr:to>
      <xdr:col>12</xdr:col>
      <xdr:colOff>704850</xdr:colOff>
      <xdr:row>20</xdr:row>
      <xdr:rowOff>114300</xdr:rowOff>
    </xdr:to>
    <xdr:pic>
      <xdr:nvPicPr>
        <xdr:cNvPr id="171910" name="Picture 6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886950" y="4686300"/>
          <a:ext cx="419100" cy="2667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733425</xdr:colOff>
      <xdr:row>17</xdr:row>
      <xdr:rowOff>9525</xdr:rowOff>
    </xdr:from>
    <xdr:to>
      <xdr:col>13</xdr:col>
      <xdr:colOff>314325</xdr:colOff>
      <xdr:row>18</xdr:row>
      <xdr:rowOff>142875</xdr:rowOff>
    </xdr:to>
    <xdr:pic>
      <xdr:nvPicPr>
        <xdr:cNvPr id="171911" name="Picture 8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334625" y="4276725"/>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13</xdr:col>
      <xdr:colOff>9525</xdr:colOff>
      <xdr:row>19</xdr:row>
      <xdr:rowOff>38100</xdr:rowOff>
    </xdr:from>
    <xdr:to>
      <xdr:col>13</xdr:col>
      <xdr:colOff>333375</xdr:colOff>
      <xdr:row>20</xdr:row>
      <xdr:rowOff>171450</xdr:rowOff>
    </xdr:to>
    <xdr:pic>
      <xdr:nvPicPr>
        <xdr:cNvPr id="171912" name="Picture 8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353675" y="4686300"/>
          <a:ext cx="323850" cy="3238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228600</xdr:colOff>
      <xdr:row>21</xdr:row>
      <xdr:rowOff>28575</xdr:rowOff>
    </xdr:from>
    <xdr:to>
      <xdr:col>9</xdr:col>
      <xdr:colOff>828675</xdr:colOff>
      <xdr:row>22</xdr:row>
      <xdr:rowOff>133350</xdr:rowOff>
    </xdr:to>
    <xdr:pic>
      <xdr:nvPicPr>
        <xdr:cNvPr id="171913" name="Picture 9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791325" y="5057775"/>
          <a:ext cx="6000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904875</xdr:colOff>
      <xdr:row>21</xdr:row>
      <xdr:rowOff>19050</xdr:rowOff>
    </xdr:from>
    <xdr:to>
      <xdr:col>10</xdr:col>
      <xdr:colOff>561975</xdr:colOff>
      <xdr:row>22</xdr:row>
      <xdr:rowOff>123825</xdr:rowOff>
    </xdr:to>
    <xdr:pic>
      <xdr:nvPicPr>
        <xdr:cNvPr id="171914" name="Picture 9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67600" y="5048250"/>
          <a:ext cx="600075"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142875</xdr:colOff>
      <xdr:row>21</xdr:row>
      <xdr:rowOff>38100</xdr:rowOff>
    </xdr:from>
    <xdr:to>
      <xdr:col>12</xdr:col>
      <xdr:colOff>561975</xdr:colOff>
      <xdr:row>22</xdr:row>
      <xdr:rowOff>114300</xdr:rowOff>
    </xdr:to>
    <xdr:pic>
      <xdr:nvPicPr>
        <xdr:cNvPr id="171915" name="Picture 6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744075" y="5067300"/>
          <a:ext cx="419100" cy="2667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12</xdr:col>
      <xdr:colOff>609600</xdr:colOff>
      <xdr:row>21</xdr:row>
      <xdr:rowOff>47625</xdr:rowOff>
    </xdr:from>
    <xdr:to>
      <xdr:col>13</xdr:col>
      <xdr:colOff>285750</xdr:colOff>
      <xdr:row>22</xdr:row>
      <xdr:rowOff>123825</xdr:rowOff>
    </xdr:to>
    <xdr:pic>
      <xdr:nvPicPr>
        <xdr:cNvPr id="171916" name="Picture 6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210800" y="5076825"/>
          <a:ext cx="419100" cy="2667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13</xdr:col>
      <xdr:colOff>371475</xdr:colOff>
      <xdr:row>21</xdr:row>
      <xdr:rowOff>28575</xdr:rowOff>
    </xdr:from>
    <xdr:to>
      <xdr:col>13</xdr:col>
      <xdr:colOff>971550</xdr:colOff>
      <xdr:row>22</xdr:row>
      <xdr:rowOff>142875</xdr:rowOff>
    </xdr:to>
    <xdr:pic>
      <xdr:nvPicPr>
        <xdr:cNvPr id="171917" name="Picture 123" descr="&amp;Kcy;&amp;acy;&amp;bcy;&amp;iecy;&amp;lcy;&amp;softcy; &amp;scy;&amp;ocy;&amp;iecy;&amp;dcy;&amp;icy;&amp;ncy;&amp;icy;&amp;tcy;&amp;iecy;&amp;lcy;&amp;softcy;&amp;ncy;&amp;ycy;&amp;jcy;"/>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15625" y="5057775"/>
          <a:ext cx="6000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27</xdr:row>
      <xdr:rowOff>95250</xdr:rowOff>
    </xdr:from>
    <xdr:to>
      <xdr:col>2</xdr:col>
      <xdr:colOff>495300</xdr:colOff>
      <xdr:row>36</xdr:row>
      <xdr:rowOff>114300</xdr:rowOff>
    </xdr:to>
    <xdr:pic>
      <xdr:nvPicPr>
        <xdr:cNvPr id="171918" name="Picture 95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7175" y="6362700"/>
          <a:ext cx="18954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666750</xdr:colOff>
      <xdr:row>38</xdr:row>
      <xdr:rowOff>66675</xdr:rowOff>
    </xdr:from>
    <xdr:to>
      <xdr:col>2</xdr:col>
      <xdr:colOff>123825</xdr:colOff>
      <xdr:row>42</xdr:row>
      <xdr:rowOff>133350</xdr:rowOff>
    </xdr:to>
    <xdr:pic>
      <xdr:nvPicPr>
        <xdr:cNvPr id="171919" name="Picture 95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00100" y="8220075"/>
          <a:ext cx="9810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619125</xdr:colOff>
      <xdr:row>45</xdr:row>
      <xdr:rowOff>47625</xdr:rowOff>
    </xdr:from>
    <xdr:to>
      <xdr:col>2</xdr:col>
      <xdr:colOff>76200</xdr:colOff>
      <xdr:row>49</xdr:row>
      <xdr:rowOff>95250</xdr:rowOff>
    </xdr:to>
    <xdr:pic>
      <xdr:nvPicPr>
        <xdr:cNvPr id="171920" name="Picture 95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2475" y="10039350"/>
          <a:ext cx="9810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1057275</xdr:colOff>
      <xdr:row>98</xdr:row>
      <xdr:rowOff>47625</xdr:rowOff>
    </xdr:from>
    <xdr:to>
      <xdr:col>2</xdr:col>
      <xdr:colOff>161925</xdr:colOff>
      <xdr:row>101</xdr:row>
      <xdr:rowOff>133350</xdr:rowOff>
    </xdr:to>
    <xdr:pic>
      <xdr:nvPicPr>
        <xdr:cNvPr id="171921" name="Picture 1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90625" y="236886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590550</xdr:colOff>
      <xdr:row>98</xdr:row>
      <xdr:rowOff>38100</xdr:rowOff>
    </xdr:from>
    <xdr:to>
      <xdr:col>1</xdr:col>
      <xdr:colOff>1219200</xdr:colOff>
      <xdr:row>101</xdr:row>
      <xdr:rowOff>123825</xdr:rowOff>
    </xdr:to>
    <xdr:pic>
      <xdr:nvPicPr>
        <xdr:cNvPr id="171922" name="Picture 1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23900" y="236791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571500</xdr:colOff>
      <xdr:row>105</xdr:row>
      <xdr:rowOff>57150</xdr:rowOff>
    </xdr:from>
    <xdr:to>
      <xdr:col>1</xdr:col>
      <xdr:colOff>1247775</xdr:colOff>
      <xdr:row>108</xdr:row>
      <xdr:rowOff>123825</xdr:rowOff>
    </xdr:to>
    <xdr:pic>
      <xdr:nvPicPr>
        <xdr:cNvPr id="171923" name="Picture 18"/>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04850" y="25088850"/>
          <a:ext cx="6762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285750</xdr:colOff>
      <xdr:row>112</xdr:row>
      <xdr:rowOff>171450</xdr:rowOff>
    </xdr:from>
    <xdr:to>
      <xdr:col>2</xdr:col>
      <xdr:colOff>361950</xdr:colOff>
      <xdr:row>115</xdr:row>
      <xdr:rowOff>114300</xdr:rowOff>
    </xdr:to>
    <xdr:pic>
      <xdr:nvPicPr>
        <xdr:cNvPr id="171924" name="Picture 3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19100" y="26593800"/>
          <a:ext cx="16002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76200</xdr:colOff>
      <xdr:row>75</xdr:row>
      <xdr:rowOff>38100</xdr:rowOff>
    </xdr:from>
    <xdr:to>
      <xdr:col>10</xdr:col>
      <xdr:colOff>666750</xdr:colOff>
      <xdr:row>77</xdr:row>
      <xdr:rowOff>85725</xdr:rowOff>
    </xdr:to>
    <xdr:pic>
      <xdr:nvPicPr>
        <xdr:cNvPr id="171925" name="Picture 1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0" y="18087975"/>
          <a:ext cx="590550" cy="46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781050</xdr:colOff>
      <xdr:row>75</xdr:row>
      <xdr:rowOff>19050</xdr:rowOff>
    </xdr:from>
    <xdr:to>
      <xdr:col>10</xdr:col>
      <xdr:colOff>981075</xdr:colOff>
      <xdr:row>77</xdr:row>
      <xdr:rowOff>95250</xdr:rowOff>
    </xdr:to>
    <xdr:pic>
      <xdr:nvPicPr>
        <xdr:cNvPr id="171926" name="Picture 1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86750" y="18068925"/>
          <a:ext cx="20002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247650</xdr:colOff>
      <xdr:row>81</xdr:row>
      <xdr:rowOff>66675</xdr:rowOff>
    </xdr:from>
    <xdr:to>
      <xdr:col>10</xdr:col>
      <xdr:colOff>771525</xdr:colOff>
      <xdr:row>83</xdr:row>
      <xdr:rowOff>171450</xdr:rowOff>
    </xdr:to>
    <xdr:pic>
      <xdr:nvPicPr>
        <xdr:cNvPr id="171927" name="Рисунок 53" descr="https://img.vseinstrumenti.ru/images/goods/540389/300x300/910656.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753350" y="1968817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161924</xdr:colOff>
      <xdr:row>1</xdr:row>
      <xdr:rowOff>70074</xdr:rowOff>
    </xdr:from>
    <xdr:to>
      <xdr:col>7</xdr:col>
      <xdr:colOff>552449</xdr:colOff>
      <xdr:row>1</xdr:row>
      <xdr:rowOff>2028825</xdr:rowOff>
    </xdr:to>
    <xdr:sp macro="" textlink="">
      <xdr:nvSpPr>
        <xdr:cNvPr id="54" name="TextBox 53"/>
        <xdr:cNvSpPr txBox="1">
          <a:spLocks noChangeArrowheads="1"/>
        </xdr:cNvSpPr>
      </xdr:nvSpPr>
      <xdr:spPr bwMode="auto">
        <a:xfrm flipH="1">
          <a:off x="3590924" y="355824"/>
          <a:ext cx="1819275" cy="1958751"/>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baseline="0">
              <a:effectLst/>
              <a:latin typeface="Arial" panose="020B0604020202020204" pitchFamily="34" charset="0"/>
              <a:ea typeface="+mn-ea"/>
              <a:cs typeface="Arial" panose="020B0604020202020204" pitchFamily="34" charset="0"/>
            </a:rPr>
            <a:t>К</a:t>
          </a:r>
          <a:r>
            <a:rPr lang="ru-RU" sz="900" b="0" i="0" baseline="0">
              <a:effectLst/>
              <a:latin typeface="Arial" panose="020B0604020202020204" pitchFamily="34" charset="0"/>
              <a:ea typeface="+mn-ea"/>
              <a:cs typeface="Arial" panose="020B0604020202020204" pitchFamily="34" charset="0"/>
            </a:rPr>
            <a:t>азань (843)206-01-48</a:t>
          </a:r>
          <a:endParaRPr lang="ru-RU" sz="9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алининград (4012)72-03-81 </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алуга (4842)92-23-67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емерово (3842)65-04-62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иров (8332)68-02-04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раснодар (861)203-40-90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расноярск (391)204-63-61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урск (4712)77-13-04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Л</a:t>
          </a:r>
          <a:r>
            <a:rPr lang="ru-RU" sz="900" b="0" i="0" u="none" strike="noStrike" baseline="0">
              <a:solidFill>
                <a:srgbClr val="000000"/>
              </a:solidFill>
              <a:latin typeface="Arial" panose="020B0604020202020204" pitchFamily="34" charset="0"/>
              <a:cs typeface="Arial" panose="020B0604020202020204" pitchFamily="34" charset="0"/>
            </a:rPr>
            <a:t>ипецк (4742)52-20-81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агнитогорск (3519)55-03-13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осква (495)268-04-70</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М</a:t>
          </a:r>
          <a:r>
            <a:rPr lang="ru-RU" sz="900" b="0" i="0" u="none" strike="noStrike" baseline="0">
              <a:solidFill>
                <a:srgbClr val="000000"/>
              </a:solidFill>
              <a:latin typeface="Arial" panose="020B0604020202020204" pitchFamily="34" charset="0"/>
              <a:cs typeface="Arial" panose="020B0604020202020204" pitchFamily="34" charset="0"/>
            </a:rPr>
            <a:t>урманск (8152)59-64-93</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азахстан (772) 734-952-31</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10</xdr:col>
      <xdr:colOff>247651</xdr:colOff>
      <xdr:row>1</xdr:row>
      <xdr:rowOff>57150</xdr:rowOff>
    </xdr:from>
    <xdr:to>
      <xdr:col>11</xdr:col>
      <xdr:colOff>1009650</xdr:colOff>
      <xdr:row>1</xdr:row>
      <xdr:rowOff>1878403</xdr:rowOff>
    </xdr:to>
    <xdr:sp macro="" textlink="">
      <xdr:nvSpPr>
        <xdr:cNvPr id="55" name="TextBox 54"/>
        <xdr:cNvSpPr txBox="1">
          <a:spLocks noChangeArrowheads="1"/>
        </xdr:cNvSpPr>
      </xdr:nvSpPr>
      <xdr:spPr bwMode="auto">
        <a:xfrm>
          <a:off x="7753351" y="342900"/>
          <a:ext cx="1752599" cy="1821253"/>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С</a:t>
          </a:r>
          <a:r>
            <a:rPr lang="ru-RU" sz="900" b="0" i="0" baseline="0">
              <a:effectLst/>
              <a:latin typeface="Arial" panose="020B0604020202020204" pitchFamily="34" charset="0"/>
              <a:ea typeface="+mn-ea"/>
              <a:cs typeface="Arial" panose="020B0604020202020204" pitchFamily="34" charset="0"/>
            </a:rPr>
            <a:t>аратов (845)249-38-78</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моленск (4812)29-41-54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очи (862)225-72-31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таврополь (8652)20-65-13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верь (4822)63-31-35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омск (3822)98-41-53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ула (4872)74-02-29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Т</a:t>
          </a:r>
          <a:r>
            <a:rPr lang="ru-RU" sz="900" b="0" i="0" u="none" strike="noStrike" baseline="0">
              <a:solidFill>
                <a:srgbClr val="000000"/>
              </a:solidFill>
              <a:latin typeface="Arial" panose="020B0604020202020204" pitchFamily="34" charset="0"/>
              <a:cs typeface="Arial" panose="020B0604020202020204" pitchFamily="34" charset="0"/>
            </a:rPr>
            <a:t>юмень (3452)66-21-18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льяновск (8422)24-23-59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У</a:t>
          </a:r>
          <a:r>
            <a:rPr lang="ru-RU" sz="900" b="0" i="0" u="none" strike="noStrike" baseline="0">
              <a:solidFill>
                <a:srgbClr val="000000"/>
              </a:solidFill>
              <a:latin typeface="Arial" panose="020B0604020202020204" pitchFamily="34" charset="0"/>
              <a:cs typeface="Arial" panose="020B0604020202020204" pitchFamily="34" charset="0"/>
            </a:rPr>
            <a:t>фа (347)229-48-12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елябинск (351)202-03-61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Ч</a:t>
          </a:r>
          <a:r>
            <a:rPr lang="ru-RU" sz="900" b="0" i="0" u="none" strike="noStrike" baseline="0">
              <a:solidFill>
                <a:srgbClr val="000000"/>
              </a:solidFill>
              <a:latin typeface="Arial" panose="020B0604020202020204" pitchFamily="34" charset="0"/>
              <a:cs typeface="Arial" panose="020B0604020202020204" pitchFamily="34" charset="0"/>
            </a:rPr>
            <a:t>ереповец (8202)49-02-64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Я</a:t>
          </a:r>
          <a:r>
            <a:rPr lang="ru-RU" sz="900" b="0" i="0" u="none" strike="noStrike" baseline="0">
              <a:solidFill>
                <a:srgbClr val="000000"/>
              </a:solidFill>
              <a:latin typeface="Arial" panose="020B0604020202020204" pitchFamily="34" charset="0"/>
              <a:cs typeface="Arial" panose="020B0604020202020204" pitchFamily="34" charset="0"/>
            </a:rPr>
            <a:t>рославль (4852)69-52-93</a:t>
          </a:r>
        </a:p>
      </xdr:txBody>
    </xdr:sp>
    <xdr:clientData/>
  </xdr:twoCellAnchor>
  <xdr:twoCellAnchor editAs="oneCell">
    <xdr:from>
      <xdr:col>7</xdr:col>
      <xdr:colOff>619125</xdr:colOff>
      <xdr:row>1</xdr:row>
      <xdr:rowOff>60552</xdr:rowOff>
    </xdr:from>
    <xdr:to>
      <xdr:col>10</xdr:col>
      <xdr:colOff>180975</xdr:colOff>
      <xdr:row>1</xdr:row>
      <xdr:rowOff>2053286</xdr:rowOff>
    </xdr:to>
    <xdr:sp macro="" textlink="">
      <xdr:nvSpPr>
        <xdr:cNvPr id="56" name="TextBox 55"/>
        <xdr:cNvSpPr txBox="1">
          <a:spLocks noChangeArrowheads="1"/>
        </xdr:cNvSpPr>
      </xdr:nvSpPr>
      <xdr:spPr bwMode="auto">
        <a:xfrm>
          <a:off x="5476875" y="346302"/>
          <a:ext cx="2209800" cy="1992734"/>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1" i="0" baseline="0">
              <a:effectLst/>
              <a:latin typeface="Arial" panose="020B0604020202020204" pitchFamily="34" charset="0"/>
              <a:ea typeface="+mn-ea"/>
              <a:cs typeface="Arial" panose="020B0604020202020204" pitchFamily="34" charset="0"/>
            </a:rPr>
            <a:t>Н</a:t>
          </a:r>
          <a:r>
            <a:rPr lang="ru-RU" sz="900" b="0" i="0" baseline="0">
              <a:effectLst/>
              <a:latin typeface="Arial" panose="020B0604020202020204" pitchFamily="34" charset="0"/>
              <a:ea typeface="+mn-ea"/>
              <a:cs typeface="Arial" panose="020B0604020202020204" pitchFamily="34" charset="0"/>
            </a:rPr>
            <a:t>абережные Челны (8552)20-53-41</a:t>
          </a:r>
          <a:endParaRPr lang="ru-RU" sz="900">
            <a:effectLst/>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ижний Новгород (831)429-08-12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овокузнецк (3843)20-46-81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Н</a:t>
          </a:r>
          <a:r>
            <a:rPr lang="ru-RU" sz="900" b="0" i="0" u="none" strike="noStrike" baseline="0">
              <a:solidFill>
                <a:srgbClr val="000000"/>
              </a:solidFill>
              <a:latin typeface="Arial" panose="020B0604020202020204" pitchFamily="34" charset="0"/>
              <a:cs typeface="Arial" panose="020B0604020202020204" pitchFamily="34" charset="0"/>
            </a:rPr>
            <a:t>овосибирск (383)227-86-73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рел (4862)44-53-42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О</a:t>
          </a:r>
          <a:r>
            <a:rPr lang="ru-RU" sz="900" b="0" i="0" u="none" strike="noStrike" baseline="0">
              <a:solidFill>
                <a:srgbClr val="000000"/>
              </a:solidFill>
              <a:latin typeface="Arial" panose="020B0604020202020204" pitchFamily="34" charset="0"/>
              <a:cs typeface="Arial" panose="020B0604020202020204" pitchFamily="34" charset="0"/>
            </a:rPr>
            <a:t>ренбург (3532)37-68-04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енза (8412)22-31-16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П</a:t>
          </a:r>
          <a:r>
            <a:rPr lang="ru-RU" sz="900" b="0" i="0" u="none" strike="noStrike" baseline="0">
              <a:solidFill>
                <a:srgbClr val="000000"/>
              </a:solidFill>
              <a:latin typeface="Arial" panose="020B0604020202020204" pitchFamily="34" charset="0"/>
              <a:cs typeface="Arial" panose="020B0604020202020204" pitchFamily="34" charset="0"/>
            </a:rPr>
            <a:t>ермь (342)205-81-47</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остов-на-Дону (863)308-18-15</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Р</a:t>
          </a:r>
          <a:r>
            <a:rPr lang="ru-RU" sz="900" b="0" i="0" u="none" strike="noStrike" baseline="0">
              <a:solidFill>
                <a:srgbClr val="000000"/>
              </a:solidFill>
              <a:latin typeface="Arial" panose="020B0604020202020204" pitchFamily="34" charset="0"/>
              <a:cs typeface="Arial" panose="020B0604020202020204" pitchFamily="34" charset="0"/>
            </a:rPr>
            <a:t>язань (4912)46-61-64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амара (846)206-03-16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С</a:t>
          </a:r>
          <a:r>
            <a:rPr lang="ru-RU" sz="900" b="0" i="0" u="none" strike="noStrike" baseline="0">
              <a:solidFill>
                <a:srgbClr val="000000"/>
              </a:solidFill>
              <a:latin typeface="Arial" panose="020B0604020202020204" pitchFamily="34" charset="0"/>
              <a:cs typeface="Arial" panose="020B0604020202020204" pitchFamily="34" charset="0"/>
            </a:rPr>
            <a:t>анкт-Петербург (812)309-46-40</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Таджикистан (992) 427-82-92-69</a:t>
          </a:r>
        </a:p>
        <a:p>
          <a:pPr algn="l" rtl="0">
            <a:defRPr sz="1000"/>
          </a:pP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2</xdr:col>
      <xdr:colOff>123825</xdr:colOff>
      <xdr:row>1</xdr:row>
      <xdr:rowOff>80054</xdr:rowOff>
    </xdr:from>
    <xdr:to>
      <xdr:col>5</xdr:col>
      <xdr:colOff>190501</xdr:colOff>
      <xdr:row>1</xdr:row>
      <xdr:rowOff>2109016</xdr:rowOff>
    </xdr:to>
    <xdr:sp macro="" textlink="">
      <xdr:nvSpPr>
        <xdr:cNvPr id="57" name="TextBox 56"/>
        <xdr:cNvSpPr txBox="1">
          <a:spLocks noChangeArrowheads="1"/>
        </xdr:cNvSpPr>
      </xdr:nvSpPr>
      <xdr:spPr bwMode="auto">
        <a:xfrm>
          <a:off x="1781175" y="365804"/>
          <a:ext cx="1838326" cy="2028962"/>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рхангельск (8182)63-90-72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А</a:t>
          </a:r>
          <a:r>
            <a:rPr lang="ru-RU" sz="900" b="0" i="0" u="none" strike="noStrike" baseline="0">
              <a:solidFill>
                <a:srgbClr val="000000"/>
              </a:solidFill>
              <a:latin typeface="Arial" panose="020B0604020202020204" pitchFamily="34" charset="0"/>
              <a:cs typeface="Arial" panose="020B0604020202020204" pitchFamily="34" charset="0"/>
            </a:rPr>
            <a:t>стана +7(7172)727-132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елгород (4722)40-23-64</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Б</a:t>
          </a:r>
          <a:r>
            <a:rPr lang="ru-RU" sz="900" b="0" i="0" u="none" strike="noStrike" baseline="0">
              <a:solidFill>
                <a:srgbClr val="000000"/>
              </a:solidFill>
              <a:latin typeface="Arial" panose="020B0604020202020204" pitchFamily="34" charset="0"/>
              <a:cs typeface="Arial" panose="020B0604020202020204" pitchFamily="34" charset="0"/>
            </a:rPr>
            <a:t>рянск (4832)59-03-52</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ладивосток (423)249-28-31</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олгоград (844)278-03-48</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ологда (8172)26-41-59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В</a:t>
          </a:r>
          <a:r>
            <a:rPr lang="ru-RU" sz="900" b="0" i="0" u="none" strike="noStrike" baseline="0">
              <a:solidFill>
                <a:srgbClr val="000000"/>
              </a:solidFill>
              <a:latin typeface="Arial" panose="020B0604020202020204" pitchFamily="34" charset="0"/>
              <a:cs typeface="Arial" panose="020B0604020202020204" pitchFamily="34" charset="0"/>
            </a:rPr>
            <a:t>оронеж (473)204-51-73</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Е</a:t>
          </a:r>
          <a:r>
            <a:rPr lang="ru-RU" sz="900" b="0" i="0" u="none" strike="noStrike" baseline="0">
              <a:solidFill>
                <a:srgbClr val="000000"/>
              </a:solidFill>
              <a:latin typeface="Arial" panose="020B0604020202020204" pitchFamily="34" charset="0"/>
              <a:cs typeface="Arial" panose="020B0604020202020204" pitchFamily="34" charset="0"/>
            </a:rPr>
            <a:t>катеринбург (343)384-55-89</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ваново (4932)77-34-06</a:t>
          </a: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И</a:t>
          </a:r>
          <a:r>
            <a:rPr lang="ru-RU" sz="900" b="0" i="0" u="none" strike="noStrike" baseline="0">
              <a:solidFill>
                <a:srgbClr val="000000"/>
              </a:solidFill>
              <a:latin typeface="Arial" panose="020B0604020202020204" pitchFamily="34" charset="0"/>
              <a:cs typeface="Arial" panose="020B0604020202020204" pitchFamily="34" charset="0"/>
            </a:rPr>
            <a:t>жевск (3412)26-03-58</a:t>
          </a: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Иркутск (395) 279-98-46</a:t>
          </a:r>
        </a:p>
        <a:p>
          <a:pPr algn="l" rtl="0">
            <a:defRPr sz="1000"/>
          </a:pPr>
          <a:endParaRPr lang="en-US" sz="9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ru-RU" sz="900" b="1" i="0" u="none" strike="noStrike" baseline="0">
              <a:solidFill>
                <a:srgbClr val="000000"/>
              </a:solidFill>
              <a:latin typeface="Arial" panose="020B0604020202020204" pitchFamily="34" charset="0"/>
              <a:cs typeface="Arial" panose="020B0604020202020204" pitchFamily="34" charset="0"/>
            </a:rPr>
            <a:t>К</a:t>
          </a:r>
          <a:r>
            <a:rPr lang="ru-RU" sz="900" b="0" i="0" u="none" strike="noStrike" baseline="0">
              <a:solidFill>
                <a:srgbClr val="000000"/>
              </a:solidFill>
              <a:latin typeface="Arial" panose="020B0604020202020204" pitchFamily="34" charset="0"/>
              <a:cs typeface="Arial" panose="020B0604020202020204" pitchFamily="34" charset="0"/>
            </a:rPr>
            <a:t>иргизия (996) 312-96-26-47</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13</xdr:col>
      <xdr:colOff>295275</xdr:colOff>
      <xdr:row>0</xdr:row>
      <xdr:rowOff>1019175</xdr:rowOff>
    </xdr:to>
    <xdr:pic>
      <xdr:nvPicPr>
        <xdr:cNvPr id="17222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04679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116</xdr:row>
      <xdr:rowOff>28575</xdr:rowOff>
    </xdr:from>
    <xdr:to>
      <xdr:col>13</xdr:col>
      <xdr:colOff>666750</xdr:colOff>
      <xdr:row>121</xdr:row>
      <xdr:rowOff>76200</xdr:rowOff>
    </xdr:to>
    <xdr:pic>
      <xdr:nvPicPr>
        <xdr:cNvPr id="172226" name="Picture 5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28298775"/>
          <a:ext cx="108585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104</xdr:row>
      <xdr:rowOff>95250</xdr:rowOff>
    </xdr:from>
    <xdr:to>
      <xdr:col>1</xdr:col>
      <xdr:colOff>1000125</xdr:colOff>
      <xdr:row>106</xdr:row>
      <xdr:rowOff>57150</xdr:rowOff>
    </xdr:to>
    <xdr:pic>
      <xdr:nvPicPr>
        <xdr:cNvPr id="172227" name="Picture 6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25908000"/>
          <a:ext cx="857250" cy="3810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1171575</xdr:colOff>
      <xdr:row>103</xdr:row>
      <xdr:rowOff>85725</xdr:rowOff>
    </xdr:from>
    <xdr:to>
      <xdr:col>2</xdr:col>
      <xdr:colOff>542925</xdr:colOff>
      <xdr:row>106</xdr:row>
      <xdr:rowOff>66675</xdr:rowOff>
    </xdr:to>
    <xdr:pic>
      <xdr:nvPicPr>
        <xdr:cNvPr id="172228" name="Picture 6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4925" y="25707975"/>
          <a:ext cx="895350" cy="5905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76200</xdr:colOff>
      <xdr:row>76</xdr:row>
      <xdr:rowOff>38100</xdr:rowOff>
    </xdr:from>
    <xdr:to>
      <xdr:col>10</xdr:col>
      <xdr:colOff>666750</xdr:colOff>
      <xdr:row>78</xdr:row>
      <xdr:rowOff>85725</xdr:rowOff>
    </xdr:to>
    <xdr:pic>
      <xdr:nvPicPr>
        <xdr:cNvPr id="172229" name="Picture 6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81900" y="19507200"/>
          <a:ext cx="590550" cy="46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781050</xdr:colOff>
      <xdr:row>76</xdr:row>
      <xdr:rowOff>19050</xdr:rowOff>
    </xdr:from>
    <xdr:to>
      <xdr:col>10</xdr:col>
      <xdr:colOff>981075</xdr:colOff>
      <xdr:row>78</xdr:row>
      <xdr:rowOff>95250</xdr:rowOff>
    </xdr:to>
    <xdr:pic>
      <xdr:nvPicPr>
        <xdr:cNvPr id="172230" name="Picture 6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86750" y="19488150"/>
          <a:ext cx="20002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200025</xdr:colOff>
      <xdr:row>43</xdr:row>
      <xdr:rowOff>28575</xdr:rowOff>
    </xdr:from>
    <xdr:to>
      <xdr:col>10</xdr:col>
      <xdr:colOff>838200</xdr:colOff>
      <xdr:row>45</xdr:row>
      <xdr:rowOff>114300</xdr:rowOff>
    </xdr:to>
    <xdr:pic>
      <xdr:nvPicPr>
        <xdr:cNvPr id="172231" name="Picture 65"/>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5725" y="11144250"/>
          <a:ext cx="638175" cy="504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257175</xdr:colOff>
      <xdr:row>68</xdr:row>
      <xdr:rowOff>28575</xdr:rowOff>
    </xdr:from>
    <xdr:to>
      <xdr:col>10</xdr:col>
      <xdr:colOff>723900</xdr:colOff>
      <xdr:row>70</xdr:row>
      <xdr:rowOff>123825</xdr:rowOff>
    </xdr:to>
    <xdr:pic>
      <xdr:nvPicPr>
        <xdr:cNvPr id="172232" name="Picture 66"/>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762875" y="17630775"/>
          <a:ext cx="466725" cy="5143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304800</xdr:colOff>
      <xdr:row>88</xdr:row>
      <xdr:rowOff>104775</xdr:rowOff>
    </xdr:from>
    <xdr:to>
      <xdr:col>2</xdr:col>
      <xdr:colOff>476250</xdr:colOff>
      <xdr:row>91</xdr:row>
      <xdr:rowOff>38100</xdr:rowOff>
    </xdr:to>
    <xdr:pic>
      <xdr:nvPicPr>
        <xdr:cNvPr id="172233" name="Picture 3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8150" y="22393275"/>
          <a:ext cx="1695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304800</xdr:colOff>
      <xdr:row>95</xdr:row>
      <xdr:rowOff>104775</xdr:rowOff>
    </xdr:from>
    <xdr:to>
      <xdr:col>2</xdr:col>
      <xdr:colOff>476250</xdr:colOff>
      <xdr:row>98</xdr:row>
      <xdr:rowOff>57150</xdr:rowOff>
    </xdr:to>
    <xdr:pic>
      <xdr:nvPicPr>
        <xdr:cNvPr id="172234" name="Picture 3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8150" y="23841075"/>
          <a:ext cx="1695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400050</xdr:colOff>
      <xdr:row>48</xdr:row>
      <xdr:rowOff>76200</xdr:rowOff>
    </xdr:from>
    <xdr:to>
      <xdr:col>1</xdr:col>
      <xdr:colOff>1228725</xdr:colOff>
      <xdr:row>52</xdr:row>
      <xdr:rowOff>114300</xdr:rowOff>
    </xdr:to>
    <xdr:pic>
      <xdr:nvPicPr>
        <xdr:cNvPr id="172235" name="Picture 85" descr="РК маленькая"/>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3400" y="12620625"/>
          <a:ext cx="8286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55</xdr:row>
      <xdr:rowOff>95250</xdr:rowOff>
    </xdr:from>
    <xdr:to>
      <xdr:col>1</xdr:col>
      <xdr:colOff>1409700</xdr:colOff>
      <xdr:row>59</xdr:row>
      <xdr:rowOff>104775</xdr:rowOff>
    </xdr:to>
    <xdr:pic>
      <xdr:nvPicPr>
        <xdr:cNvPr id="172236" name="Picture 86" descr="УФ мал"/>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1472999">
          <a:off x="657225" y="14306550"/>
          <a:ext cx="885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31</xdr:row>
      <xdr:rowOff>104775</xdr:rowOff>
    </xdr:from>
    <xdr:to>
      <xdr:col>2</xdr:col>
      <xdr:colOff>142875</xdr:colOff>
      <xdr:row>35</xdr:row>
      <xdr:rowOff>152400</xdr:rowOff>
    </xdr:to>
    <xdr:pic>
      <xdr:nvPicPr>
        <xdr:cNvPr id="172237" name="Picture 87" descr="БИ алон малый"/>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76250" y="7115175"/>
          <a:ext cx="13239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20</xdr:row>
      <xdr:rowOff>152400</xdr:rowOff>
    </xdr:from>
    <xdr:to>
      <xdr:col>3</xdr:col>
      <xdr:colOff>38100</xdr:colOff>
      <xdr:row>29</xdr:row>
      <xdr:rowOff>142875</xdr:rowOff>
    </xdr:to>
    <xdr:pic>
      <xdr:nvPicPr>
        <xdr:cNvPr id="172238" name="Picture 89" descr="БИ алон большой"/>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5" y="5276850"/>
          <a:ext cx="22955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714375</xdr:colOff>
      <xdr:row>128</xdr:row>
      <xdr:rowOff>28575</xdr:rowOff>
    </xdr:from>
    <xdr:to>
      <xdr:col>14</xdr:col>
      <xdr:colOff>323850</xdr:colOff>
      <xdr:row>174</xdr:row>
      <xdr:rowOff>152400</xdr:rowOff>
    </xdr:to>
    <xdr:pic>
      <xdr:nvPicPr>
        <xdr:cNvPr id="172239" name="Picture 90" descr="Варианты подключения вар1"/>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496050" y="30660975"/>
          <a:ext cx="5105400" cy="757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127</xdr:row>
      <xdr:rowOff>123825</xdr:rowOff>
    </xdr:from>
    <xdr:to>
      <xdr:col>8</xdr:col>
      <xdr:colOff>257175</xdr:colOff>
      <xdr:row>175</xdr:row>
      <xdr:rowOff>9525</xdr:rowOff>
    </xdr:to>
    <xdr:pic>
      <xdr:nvPicPr>
        <xdr:cNvPr id="172240" name="Picture 91" descr="Варианты подключения вар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38125" y="30594300"/>
          <a:ext cx="5800725" cy="765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76200</xdr:colOff>
      <xdr:row>76</xdr:row>
      <xdr:rowOff>38100</xdr:rowOff>
    </xdr:from>
    <xdr:to>
      <xdr:col>10</xdr:col>
      <xdr:colOff>666750</xdr:colOff>
      <xdr:row>78</xdr:row>
      <xdr:rowOff>85725</xdr:rowOff>
    </xdr:to>
    <xdr:pic>
      <xdr:nvPicPr>
        <xdr:cNvPr id="172241" name="Picture 9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81900" y="19507200"/>
          <a:ext cx="590550" cy="46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781050</xdr:colOff>
      <xdr:row>76</xdr:row>
      <xdr:rowOff>19050</xdr:rowOff>
    </xdr:from>
    <xdr:to>
      <xdr:col>10</xdr:col>
      <xdr:colOff>981075</xdr:colOff>
      <xdr:row>78</xdr:row>
      <xdr:rowOff>95250</xdr:rowOff>
    </xdr:to>
    <xdr:pic>
      <xdr:nvPicPr>
        <xdr:cNvPr id="172242" name="Picture 9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86750" y="19488150"/>
          <a:ext cx="20002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76200</xdr:colOff>
      <xdr:row>76</xdr:row>
      <xdr:rowOff>38100</xdr:rowOff>
    </xdr:from>
    <xdr:to>
      <xdr:col>10</xdr:col>
      <xdr:colOff>666750</xdr:colOff>
      <xdr:row>78</xdr:row>
      <xdr:rowOff>85725</xdr:rowOff>
    </xdr:to>
    <xdr:pic>
      <xdr:nvPicPr>
        <xdr:cNvPr id="172243" name="Picture 9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81900" y="19507200"/>
          <a:ext cx="590550" cy="4667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781050</xdr:colOff>
      <xdr:row>76</xdr:row>
      <xdr:rowOff>19050</xdr:rowOff>
    </xdr:from>
    <xdr:to>
      <xdr:col>10</xdr:col>
      <xdr:colOff>981075</xdr:colOff>
      <xdr:row>78</xdr:row>
      <xdr:rowOff>95250</xdr:rowOff>
    </xdr:to>
    <xdr:pic>
      <xdr:nvPicPr>
        <xdr:cNvPr id="172244" name="Picture 9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86750" y="19488150"/>
          <a:ext cx="200025"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257175</xdr:colOff>
      <xdr:row>82</xdr:row>
      <xdr:rowOff>66675</xdr:rowOff>
    </xdr:from>
    <xdr:to>
      <xdr:col>10</xdr:col>
      <xdr:colOff>781050</xdr:colOff>
      <xdr:row>84</xdr:row>
      <xdr:rowOff>171450</xdr:rowOff>
    </xdr:to>
    <xdr:pic>
      <xdr:nvPicPr>
        <xdr:cNvPr id="172245" name="Рисунок 22" descr="https://img.vseinstrumenti.ru/images/goods/540389/300x300/910656.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762875" y="211169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20.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sheetPr>
  <dimension ref="A1:AQ226"/>
  <sheetViews>
    <sheetView tabSelected="1" topLeftCell="B1" zoomScaleNormal="100" workbookViewId="0">
      <selection activeCell="B4" sqref="B4"/>
    </sheetView>
  </sheetViews>
  <sheetFormatPr defaultRowHeight="12.75" x14ac:dyDescent="0.2"/>
  <cols>
    <col min="1" max="1" width="1.42578125" customWidth="1"/>
    <col min="2" max="2" width="14.85546875" customWidth="1"/>
    <col min="3" max="8" width="17" customWidth="1"/>
    <col min="9" max="9" width="14.28515625" customWidth="1"/>
    <col min="10" max="10" width="15.28515625" customWidth="1"/>
    <col min="11" max="11" width="14.5703125" customWidth="1"/>
    <col min="12" max="12" width="12.85546875" customWidth="1"/>
    <col min="13" max="14" width="7.140625" customWidth="1"/>
    <col min="15" max="16" width="11.42578125" customWidth="1"/>
  </cols>
  <sheetData>
    <row r="1" spans="1:43" ht="25.5" customHeight="1" x14ac:dyDescent="0.2">
      <c r="B1" s="2062" t="s">
        <v>1448</v>
      </c>
      <c r="C1" s="2062"/>
      <c r="D1" s="2062"/>
      <c r="E1" s="2062"/>
      <c r="F1" s="2062"/>
      <c r="G1" s="2062"/>
      <c r="H1" s="2062"/>
      <c r="I1" s="2062"/>
      <c r="J1" s="2062"/>
      <c r="K1" s="2062"/>
      <c r="L1" s="14"/>
      <c r="M1" s="10"/>
      <c r="N1" s="10"/>
      <c r="O1" s="10"/>
      <c r="P1" s="10"/>
      <c r="Q1" s="14"/>
      <c r="R1" s="14"/>
      <c r="S1" s="14"/>
      <c r="T1" s="14"/>
      <c r="U1" s="14"/>
      <c r="V1" s="14"/>
      <c r="W1" s="14"/>
      <c r="X1" s="14"/>
      <c r="Y1" s="14"/>
      <c r="Z1" s="14"/>
      <c r="AA1" s="14"/>
      <c r="AB1" s="14"/>
      <c r="AC1" s="14"/>
      <c r="AD1" s="14"/>
      <c r="AE1" s="14"/>
      <c r="AF1" s="14"/>
      <c r="AG1" s="14"/>
      <c r="AH1" s="14"/>
      <c r="AI1" s="14"/>
      <c r="AJ1" s="13"/>
      <c r="AK1" s="14"/>
      <c r="AL1" s="14"/>
      <c r="AM1" s="14"/>
      <c r="AN1" s="14"/>
      <c r="AO1" s="14"/>
      <c r="AP1" s="6"/>
      <c r="AQ1" s="6"/>
    </row>
    <row r="2" spans="1:43" ht="165.75" customHeight="1" x14ac:dyDescent="0.2">
      <c r="A2" s="1"/>
      <c r="B2" s="2059"/>
      <c r="C2" s="2059"/>
      <c r="D2" s="2059"/>
      <c r="E2" s="2059"/>
      <c r="F2" s="2059"/>
      <c r="G2" s="2059"/>
      <c r="H2" s="2059"/>
      <c r="I2" s="2059"/>
      <c r="J2" s="2059"/>
      <c r="K2" s="2060"/>
      <c r="L2" s="11"/>
      <c r="M2" s="2"/>
      <c r="N2" s="60"/>
      <c r="O2" s="10"/>
      <c r="P2" s="10"/>
      <c r="Q2" s="10"/>
      <c r="AJ2" s="25"/>
      <c r="AK2" s="10"/>
      <c r="AL2" s="10"/>
      <c r="AM2" s="10"/>
      <c r="AN2" s="10"/>
      <c r="AO2" s="10"/>
      <c r="AP2" s="3"/>
    </row>
    <row r="3" spans="1:43" ht="15" customHeight="1" x14ac:dyDescent="0.2">
      <c r="A3" s="1"/>
      <c r="B3" s="2068" t="s">
        <v>1449</v>
      </c>
      <c r="C3" s="2069"/>
      <c r="D3" s="2069"/>
      <c r="E3" s="2069"/>
      <c r="F3" s="2069"/>
      <c r="G3" s="2069"/>
      <c r="H3" s="2069"/>
      <c r="I3" s="2069"/>
      <c r="J3" s="2069"/>
      <c r="K3" s="2069"/>
      <c r="L3" s="2069"/>
      <c r="M3" s="2" t="s">
        <v>157</v>
      </c>
      <c r="N3" s="60"/>
      <c r="O3" s="10"/>
      <c r="P3" s="10"/>
      <c r="Q3" s="10"/>
      <c r="AJ3" s="25"/>
      <c r="AK3" s="10"/>
      <c r="AL3" s="10"/>
      <c r="AM3" s="10"/>
      <c r="AN3" s="10"/>
      <c r="AO3" s="10"/>
      <c r="AP3" s="3"/>
    </row>
    <row r="4" spans="1:43" ht="30" customHeight="1" x14ac:dyDescent="0.25">
      <c r="A4" s="1"/>
      <c r="B4" s="633" t="s">
        <v>975</v>
      </c>
      <c r="C4" s="634"/>
      <c r="D4" s="635"/>
      <c r="E4" s="636"/>
      <c r="F4" s="637"/>
      <c r="G4" s="636"/>
      <c r="H4" s="638"/>
      <c r="I4" s="638"/>
      <c r="J4" s="639"/>
      <c r="K4" s="640"/>
      <c r="L4" s="14"/>
      <c r="M4" s="2"/>
      <c r="N4" s="60" t="s">
        <v>156</v>
      </c>
      <c r="O4" s="10"/>
      <c r="P4" s="10"/>
      <c r="Q4" s="10"/>
      <c r="AJ4" s="12"/>
      <c r="AK4" s="11"/>
      <c r="AL4" s="11"/>
      <c r="AM4" s="11"/>
      <c r="AN4" s="11"/>
      <c r="AO4" s="11"/>
      <c r="AP4" s="5"/>
    </row>
    <row r="5" spans="1:43" ht="15" customHeight="1" x14ac:dyDescent="0.2">
      <c r="A5" s="1"/>
      <c r="B5" s="432"/>
      <c r="C5" s="433"/>
      <c r="D5" s="433"/>
      <c r="E5" s="433"/>
      <c r="F5" s="433"/>
      <c r="G5" s="433"/>
      <c r="H5" s="433"/>
      <c r="I5" s="433"/>
      <c r="J5" s="433"/>
      <c r="K5" s="434"/>
      <c r="L5" s="14"/>
      <c r="M5" s="2"/>
      <c r="N5" s="60"/>
      <c r="O5" s="10"/>
      <c r="P5" s="10"/>
      <c r="Q5" s="10"/>
      <c r="AJ5" s="10"/>
      <c r="AK5" s="10"/>
      <c r="AL5" s="10"/>
      <c r="AM5" s="10"/>
      <c r="AN5" s="10"/>
      <c r="AO5" s="10"/>
      <c r="AP5" s="10"/>
    </row>
    <row r="6" spans="1:43" ht="13.5" customHeight="1" x14ac:dyDescent="0.2">
      <c r="A6" s="1"/>
      <c r="B6" s="438" t="s">
        <v>1080</v>
      </c>
      <c r="C6" s="436"/>
      <c r="D6" s="436"/>
      <c r="E6" s="436"/>
      <c r="F6" s="436"/>
      <c r="G6" s="436"/>
      <c r="H6" s="436"/>
      <c r="I6" s="436"/>
      <c r="J6" s="436"/>
      <c r="K6" s="437"/>
      <c r="L6" s="14"/>
      <c r="M6" s="2"/>
      <c r="N6" s="60"/>
      <c r="O6" s="10"/>
      <c r="P6" s="10"/>
      <c r="Q6" s="10"/>
      <c r="AJ6" s="10"/>
      <c r="AK6" s="10"/>
      <c r="AL6" s="10"/>
      <c r="AM6" s="10"/>
      <c r="AN6" s="10"/>
      <c r="AO6" s="10"/>
      <c r="AP6" s="10"/>
    </row>
    <row r="7" spans="1:43" ht="13.5" customHeight="1" x14ac:dyDescent="0.2">
      <c r="A7" s="1"/>
      <c r="B7" s="438" t="s">
        <v>1081</v>
      </c>
      <c r="C7" s="436"/>
      <c r="D7" s="436"/>
      <c r="E7" s="436"/>
      <c r="F7" s="436"/>
      <c r="G7" s="436"/>
      <c r="H7" s="436"/>
      <c r="I7" s="436"/>
      <c r="J7" s="436"/>
      <c r="K7" s="437"/>
      <c r="L7" s="14"/>
      <c r="M7" s="2"/>
      <c r="N7" s="60"/>
      <c r="O7" s="10"/>
      <c r="P7" s="10"/>
      <c r="Q7" s="10"/>
      <c r="AJ7" s="10"/>
      <c r="AK7" s="10"/>
      <c r="AL7" s="10"/>
      <c r="AM7" s="10"/>
      <c r="AN7" s="10"/>
      <c r="AO7" s="10"/>
      <c r="AP7" s="10"/>
    </row>
    <row r="8" spans="1:43" ht="13.5" customHeight="1" x14ac:dyDescent="0.2">
      <c r="A8" s="1"/>
      <c r="B8" s="438" t="s">
        <v>317</v>
      </c>
      <c r="C8" s="436"/>
      <c r="D8" s="436"/>
      <c r="E8" s="436"/>
      <c r="F8" s="436"/>
      <c r="G8" s="436"/>
      <c r="H8" s="436"/>
      <c r="I8" s="436"/>
      <c r="J8" s="436"/>
      <c r="K8" s="437"/>
      <c r="L8" s="14"/>
      <c r="M8" s="2"/>
      <c r="N8" s="60"/>
      <c r="O8" s="10"/>
      <c r="P8" s="10"/>
      <c r="Q8" s="10"/>
      <c r="AJ8" s="10"/>
      <c r="AK8" s="10"/>
      <c r="AL8" s="10"/>
      <c r="AM8" s="10"/>
      <c r="AN8" s="10"/>
      <c r="AO8" s="10"/>
      <c r="AP8" s="10"/>
    </row>
    <row r="9" spans="1:43" ht="13.5" customHeight="1" x14ac:dyDescent="0.2">
      <c r="A9" s="1"/>
      <c r="B9" s="438" t="s">
        <v>318</v>
      </c>
      <c r="C9" s="436"/>
      <c r="D9" s="436"/>
      <c r="E9" s="436"/>
      <c r="F9" s="436"/>
      <c r="G9" s="436"/>
      <c r="H9" s="436"/>
      <c r="I9" s="436"/>
      <c r="J9" s="436"/>
      <c r="K9" s="437"/>
      <c r="L9" s="14"/>
      <c r="M9" s="2"/>
      <c r="N9" s="60"/>
      <c r="O9" s="10"/>
      <c r="P9" s="10"/>
      <c r="Q9" s="10"/>
      <c r="AJ9" s="10"/>
      <c r="AK9" s="10"/>
      <c r="AL9" s="10"/>
      <c r="AM9" s="10"/>
      <c r="AN9" s="10"/>
      <c r="AO9" s="10"/>
      <c r="AP9" s="10"/>
    </row>
    <row r="10" spans="1:43" ht="13.5" customHeight="1" x14ac:dyDescent="0.2">
      <c r="A10" s="1"/>
      <c r="B10" s="435" t="s">
        <v>1082</v>
      </c>
      <c r="C10" s="436"/>
      <c r="D10" s="436"/>
      <c r="E10" s="436"/>
      <c r="F10" s="436"/>
      <c r="G10" s="436"/>
      <c r="H10" s="436"/>
      <c r="I10" s="436"/>
      <c r="J10" s="436"/>
      <c r="K10" s="437"/>
      <c r="L10" s="14"/>
      <c r="M10" s="2"/>
      <c r="N10" s="60"/>
      <c r="O10" s="10"/>
      <c r="P10" s="10"/>
      <c r="Q10" s="10"/>
      <c r="AJ10" s="10"/>
      <c r="AK10" s="10"/>
      <c r="AL10" s="10"/>
      <c r="AM10" s="10"/>
      <c r="AN10" s="10"/>
      <c r="AO10" s="10"/>
      <c r="AP10" s="10"/>
    </row>
    <row r="11" spans="1:43" ht="13.5" customHeight="1" x14ac:dyDescent="0.2">
      <c r="A11" s="1"/>
      <c r="B11" s="435"/>
      <c r="C11" s="436"/>
      <c r="D11" s="436"/>
      <c r="E11" s="436"/>
      <c r="F11" s="436"/>
      <c r="G11" s="436"/>
      <c r="H11" s="436"/>
      <c r="I11" s="436"/>
      <c r="J11" s="436"/>
      <c r="K11" s="437"/>
      <c r="L11" s="14"/>
      <c r="M11" s="2"/>
      <c r="N11" s="60"/>
      <c r="O11" s="10"/>
      <c r="P11" s="10"/>
      <c r="Q11" s="10"/>
      <c r="AJ11" s="10"/>
      <c r="AK11" s="10"/>
      <c r="AL11" s="10"/>
      <c r="AM11" s="10"/>
      <c r="AN11" s="10"/>
      <c r="AO11" s="10"/>
      <c r="AP11" s="10"/>
    </row>
    <row r="12" spans="1:43" ht="13.5" customHeight="1" x14ac:dyDescent="0.2">
      <c r="A12" s="1"/>
      <c r="B12" s="435" t="s">
        <v>864</v>
      </c>
      <c r="C12" s="436"/>
      <c r="D12" s="436"/>
      <c r="E12" s="436"/>
      <c r="F12" s="436"/>
      <c r="G12" s="436"/>
      <c r="H12" s="436"/>
      <c r="I12" s="436"/>
      <c r="J12" s="436"/>
      <c r="K12" s="437"/>
      <c r="L12" s="14"/>
      <c r="M12" s="2"/>
      <c r="N12" s="60"/>
      <c r="O12" s="10"/>
      <c r="P12" s="10"/>
      <c r="Q12" s="10"/>
      <c r="AJ12" s="10"/>
      <c r="AK12" s="10"/>
      <c r="AL12" s="10"/>
      <c r="AM12" s="10"/>
      <c r="AN12" s="10"/>
      <c r="AO12" s="10"/>
      <c r="AP12" s="10"/>
    </row>
    <row r="13" spans="1:43" ht="13.5" customHeight="1" x14ac:dyDescent="0.2">
      <c r="A13" s="1"/>
      <c r="B13" s="435" t="s">
        <v>1217</v>
      </c>
      <c r="C13" s="436"/>
      <c r="D13" s="436"/>
      <c r="E13" s="436"/>
      <c r="F13" s="436"/>
      <c r="G13" s="436"/>
      <c r="H13" s="436"/>
      <c r="I13" s="436"/>
      <c r="J13" s="436"/>
      <c r="K13" s="437"/>
      <c r="L13" s="14"/>
      <c r="M13" s="2"/>
      <c r="N13" s="60"/>
      <c r="O13" s="10"/>
      <c r="P13" s="10"/>
      <c r="Q13" s="10"/>
      <c r="AJ13" s="10"/>
      <c r="AK13" s="10"/>
      <c r="AL13" s="10"/>
      <c r="AM13" s="10"/>
      <c r="AN13" s="10"/>
      <c r="AO13" s="10"/>
      <c r="AP13" s="10"/>
    </row>
    <row r="14" spans="1:43" ht="15" customHeight="1" x14ac:dyDescent="0.2">
      <c r="A14" s="1"/>
      <c r="B14" s="438" t="s">
        <v>1314</v>
      </c>
      <c r="C14" s="436"/>
      <c r="D14" s="436"/>
      <c r="E14" s="436"/>
      <c r="F14" s="436"/>
      <c r="G14" s="436"/>
      <c r="H14" s="436"/>
      <c r="I14" s="436"/>
      <c r="J14" s="436"/>
      <c r="K14" s="437"/>
      <c r="L14" s="286"/>
      <c r="M14" s="2"/>
      <c r="N14" s="60"/>
      <c r="O14" s="10"/>
      <c r="P14" s="10"/>
      <c r="Q14" s="10"/>
    </row>
    <row r="15" spans="1:43" ht="33.75" customHeight="1" thickBot="1" x14ac:dyDescent="0.3">
      <c r="A15" s="1"/>
      <c r="B15" s="1606" t="s">
        <v>1380</v>
      </c>
      <c r="C15" s="1607"/>
      <c r="D15" s="1607"/>
      <c r="E15" s="1607"/>
      <c r="F15" s="1607"/>
      <c r="G15" s="1607"/>
      <c r="H15" s="1607"/>
      <c r="I15" s="1607"/>
      <c r="J15" s="1607"/>
      <c r="K15" s="1607"/>
      <c r="L15" s="1608"/>
      <c r="M15" s="2"/>
      <c r="N15" s="60"/>
      <c r="O15" s="10"/>
      <c r="P15" s="10"/>
      <c r="Q15" s="10"/>
    </row>
    <row r="16" spans="1:43" ht="18.75" customHeight="1" x14ac:dyDescent="0.25">
      <c r="A16" s="1"/>
      <c r="B16" s="492"/>
      <c r="C16" s="1599" t="s">
        <v>1219</v>
      </c>
      <c r="D16" s="1600"/>
      <c r="E16" s="1599" t="s">
        <v>319</v>
      </c>
      <c r="F16" s="1600"/>
      <c r="G16" s="1599" t="s">
        <v>1365</v>
      </c>
      <c r="H16" s="1600"/>
      <c r="I16" s="1558"/>
      <c r="J16" s="1559"/>
      <c r="K16" s="487"/>
      <c r="L16" s="1560"/>
      <c r="M16" s="2"/>
      <c r="N16" s="60"/>
      <c r="O16" s="10"/>
      <c r="P16" s="10"/>
      <c r="Q16" s="10"/>
    </row>
    <row r="17" spans="1:17" ht="18.75" customHeight="1" x14ac:dyDescent="0.25">
      <c r="A17" s="1"/>
      <c r="B17" s="494"/>
      <c r="C17" s="1601" t="s">
        <v>1366</v>
      </c>
      <c r="D17" s="1602"/>
      <c r="E17" s="1599" t="s">
        <v>320</v>
      </c>
      <c r="F17" s="1602"/>
      <c r="G17" s="1599" t="s">
        <v>1366</v>
      </c>
      <c r="H17" s="1602"/>
      <c r="I17" s="1561"/>
      <c r="J17" s="296"/>
      <c r="K17" s="296"/>
      <c r="L17" s="1562"/>
      <c r="M17" s="2"/>
      <c r="N17" s="60"/>
      <c r="O17" s="10"/>
      <c r="P17" s="10"/>
      <c r="Q17" s="10"/>
    </row>
    <row r="18" spans="1:17" ht="12.75" customHeight="1" x14ac:dyDescent="0.2">
      <c r="A18" s="1"/>
      <c r="B18" s="494"/>
      <c r="C18" s="1603" t="s">
        <v>1223</v>
      </c>
      <c r="D18" s="1604"/>
      <c r="E18" s="1603" t="s">
        <v>1218</v>
      </c>
      <c r="F18" s="1604"/>
      <c r="G18" s="1603" t="s">
        <v>323</v>
      </c>
      <c r="H18" s="1604"/>
      <c r="I18" s="1561"/>
      <c r="J18" s="296"/>
      <c r="K18" s="296"/>
      <c r="L18" s="1562"/>
      <c r="M18" s="2"/>
      <c r="N18" s="60"/>
      <c r="O18" s="10"/>
      <c r="P18" s="10"/>
      <c r="Q18" s="10"/>
    </row>
    <row r="19" spans="1:17" ht="12.75" customHeight="1" x14ac:dyDescent="0.2">
      <c r="A19" s="1"/>
      <c r="B19" s="494"/>
      <c r="C19" s="1603" t="s">
        <v>1224</v>
      </c>
      <c r="D19" s="1604"/>
      <c r="E19" s="1603" t="s">
        <v>1221</v>
      </c>
      <c r="F19" s="1604"/>
      <c r="G19" s="1603" t="s">
        <v>213</v>
      </c>
      <c r="H19" s="1604"/>
      <c r="I19" s="1561"/>
      <c r="J19" s="296"/>
      <c r="K19" s="296"/>
      <c r="L19" s="1562"/>
      <c r="M19" s="2"/>
      <c r="N19" s="60"/>
      <c r="O19" s="10"/>
      <c r="P19" s="10"/>
      <c r="Q19" s="10"/>
    </row>
    <row r="20" spans="1:17" ht="12.75" customHeight="1" x14ac:dyDescent="0.2">
      <c r="A20" s="1"/>
      <c r="B20" s="494"/>
      <c r="C20" s="1605"/>
      <c r="D20" s="1604"/>
      <c r="E20" s="1603" t="s">
        <v>1222</v>
      </c>
      <c r="F20" s="1604"/>
      <c r="G20" s="1603"/>
      <c r="H20" s="1604"/>
      <c r="I20" s="1561"/>
      <c r="J20" s="296"/>
      <c r="K20" s="296"/>
      <c r="L20" s="1563"/>
      <c r="M20" s="2"/>
      <c r="N20" s="60"/>
      <c r="O20" s="10"/>
      <c r="P20" s="10"/>
      <c r="Q20" s="10"/>
    </row>
    <row r="21" spans="1:17" ht="15" customHeight="1" x14ac:dyDescent="0.2">
      <c r="A21" s="1"/>
      <c r="B21" s="494"/>
      <c r="C21" s="372"/>
      <c r="D21" s="373"/>
      <c r="E21" s="372"/>
      <c r="F21" s="373"/>
      <c r="G21" s="374"/>
      <c r="H21" s="373"/>
      <c r="I21" s="1561"/>
      <c r="J21" s="296"/>
      <c r="K21" s="297"/>
      <c r="L21" s="1563"/>
      <c r="M21" s="2"/>
      <c r="N21" s="60"/>
      <c r="O21" s="10"/>
      <c r="P21" s="10"/>
      <c r="Q21" s="10"/>
    </row>
    <row r="22" spans="1:17" ht="15" customHeight="1" x14ac:dyDescent="0.2">
      <c r="A22" s="1"/>
      <c r="B22" s="494"/>
      <c r="C22" s="372"/>
      <c r="D22" s="373"/>
      <c r="E22" s="372"/>
      <c r="F22" s="373"/>
      <c r="G22" s="374"/>
      <c r="H22" s="373"/>
      <c r="I22" s="1561"/>
      <c r="J22" s="296"/>
      <c r="K22" s="297"/>
      <c r="L22" s="1563"/>
      <c r="M22" s="2"/>
      <c r="N22" s="60"/>
      <c r="O22" s="10"/>
      <c r="P22" s="10"/>
      <c r="Q22" s="10"/>
    </row>
    <row r="23" spans="1:17" ht="15" customHeight="1" x14ac:dyDescent="0.2">
      <c r="A23" s="1"/>
      <c r="B23" s="494"/>
      <c r="C23" s="372"/>
      <c r="D23" s="373"/>
      <c r="E23" s="372"/>
      <c r="F23" s="373"/>
      <c r="G23" s="374"/>
      <c r="H23" s="373"/>
      <c r="I23" s="1561"/>
      <c r="J23" s="296"/>
      <c r="K23" s="297"/>
      <c r="L23" s="296"/>
      <c r="M23" s="2"/>
      <c r="N23" s="60"/>
      <c r="O23" s="10"/>
      <c r="P23" s="10"/>
      <c r="Q23" s="10"/>
    </row>
    <row r="24" spans="1:17" ht="15" customHeight="1" x14ac:dyDescent="0.2">
      <c r="A24" s="1"/>
      <c r="B24" s="494"/>
      <c r="C24" s="372"/>
      <c r="D24" s="373"/>
      <c r="E24" s="372"/>
      <c r="F24" s="373"/>
      <c r="G24" s="374"/>
      <c r="H24" s="373"/>
      <c r="I24" s="1564"/>
      <c r="J24" s="296"/>
      <c r="K24" s="297"/>
      <c r="L24" s="1563"/>
      <c r="M24" s="2"/>
      <c r="N24" s="60"/>
      <c r="O24" s="10"/>
      <c r="P24" s="10"/>
      <c r="Q24" s="10"/>
    </row>
    <row r="25" spans="1:17" ht="15" customHeight="1" x14ac:dyDescent="0.2">
      <c r="A25" s="1"/>
      <c r="B25" s="494"/>
      <c r="C25" s="372"/>
      <c r="D25" s="373"/>
      <c r="E25" s="372"/>
      <c r="F25" s="373"/>
      <c r="G25" s="374"/>
      <c r="H25" s="373"/>
      <c r="I25" s="1564"/>
      <c r="J25" s="296"/>
      <c r="K25" s="297"/>
      <c r="L25" s="296"/>
      <c r="M25" s="2"/>
      <c r="N25" s="60"/>
      <c r="O25" s="10"/>
      <c r="P25" s="10"/>
      <c r="Q25" s="10"/>
    </row>
    <row r="26" spans="1:17" ht="15" customHeight="1" x14ac:dyDescent="0.2">
      <c r="A26" s="1"/>
      <c r="B26" s="494"/>
      <c r="C26" s="372"/>
      <c r="D26" s="373"/>
      <c r="E26" s="372"/>
      <c r="F26" s="373"/>
      <c r="G26" s="374"/>
      <c r="H26" s="373"/>
      <c r="I26" s="1564"/>
      <c r="J26" s="296"/>
      <c r="K26" s="297"/>
      <c r="L26" s="1562"/>
      <c r="M26" s="2"/>
      <c r="N26" s="60"/>
      <c r="O26" s="10"/>
      <c r="P26" s="10"/>
      <c r="Q26" s="10"/>
    </row>
    <row r="27" spans="1:17" ht="15" customHeight="1" x14ac:dyDescent="0.2">
      <c r="A27" s="1"/>
      <c r="B27" s="494"/>
      <c r="C27" s="372"/>
      <c r="D27" s="373"/>
      <c r="E27" s="372"/>
      <c r="F27" s="373"/>
      <c r="G27" s="374"/>
      <c r="H27" s="373"/>
      <c r="I27" s="1564"/>
      <c r="J27" s="296"/>
      <c r="K27" s="297"/>
      <c r="L27" s="1562"/>
      <c r="M27" s="2"/>
      <c r="N27" s="60"/>
      <c r="O27" s="10"/>
      <c r="P27" s="10"/>
      <c r="Q27" s="10"/>
    </row>
    <row r="28" spans="1:17" ht="15" customHeight="1" x14ac:dyDescent="0.2">
      <c r="A28" s="1"/>
      <c r="B28" s="494"/>
      <c r="C28" s="372"/>
      <c r="D28" s="373"/>
      <c r="E28" s="372"/>
      <c r="F28" s="373"/>
      <c r="G28" s="374"/>
      <c r="H28" s="373"/>
      <c r="I28" s="1565"/>
      <c r="J28" s="296"/>
      <c r="K28" s="297"/>
      <c r="L28" s="1563"/>
      <c r="M28" s="2"/>
      <c r="N28" s="60"/>
      <c r="O28" s="10"/>
      <c r="P28" s="10"/>
      <c r="Q28" s="10"/>
    </row>
    <row r="29" spans="1:17" ht="15" customHeight="1" x14ac:dyDescent="0.2">
      <c r="A29" s="1"/>
      <c r="B29" s="494"/>
      <c r="C29" s="372"/>
      <c r="D29" s="373"/>
      <c r="E29" s="372"/>
      <c r="F29" s="373"/>
      <c r="G29" s="374"/>
      <c r="H29" s="373"/>
      <c r="I29" s="1566"/>
      <c r="J29" s="1567"/>
      <c r="K29" s="297"/>
      <c r="L29" s="296"/>
      <c r="M29" s="2"/>
      <c r="N29" s="60"/>
      <c r="O29" s="10"/>
      <c r="P29" s="10"/>
      <c r="Q29" s="10"/>
    </row>
    <row r="30" spans="1:17" ht="15" customHeight="1" x14ac:dyDescent="0.25">
      <c r="A30" s="1"/>
      <c r="B30" s="494"/>
      <c r="C30" s="1778"/>
      <c r="D30" s="1779"/>
      <c r="E30" s="1778"/>
      <c r="F30" s="1779"/>
      <c r="G30" s="1778"/>
      <c r="H30" s="1779"/>
      <c r="I30" s="1568"/>
      <c r="J30" s="1569"/>
      <c r="K30" s="1570"/>
      <c r="L30" s="1571"/>
      <c r="M30" s="2"/>
      <c r="N30" s="60"/>
      <c r="O30" s="10"/>
      <c r="P30" s="10"/>
      <c r="Q30" s="10"/>
    </row>
    <row r="31" spans="1:17" ht="15" customHeight="1" x14ac:dyDescent="0.2">
      <c r="A31" s="1"/>
      <c r="B31" s="495"/>
      <c r="C31" s="1125"/>
      <c r="D31" s="1126"/>
      <c r="E31" s="352"/>
      <c r="F31" s="655"/>
      <c r="G31" s="1123"/>
      <c r="H31" s="1124"/>
      <c r="I31" s="1556" t="s">
        <v>410</v>
      </c>
      <c r="J31" s="1557"/>
      <c r="K31" s="1554" t="s">
        <v>653</v>
      </c>
      <c r="L31" s="1555" t="s">
        <v>694</v>
      </c>
      <c r="M31" s="2"/>
      <c r="N31" s="60"/>
      <c r="O31" s="10"/>
      <c r="P31" s="10"/>
      <c r="Q31" s="10"/>
    </row>
    <row r="32" spans="1:17" ht="15.75" customHeight="1" x14ac:dyDescent="0.2">
      <c r="A32" s="1"/>
      <c r="B32" s="496"/>
      <c r="C32" s="1504" t="s">
        <v>1204</v>
      </c>
      <c r="D32" s="1505"/>
      <c r="E32" s="1510" t="s">
        <v>1204</v>
      </c>
      <c r="F32" s="1506"/>
      <c r="G32" s="1511" t="s">
        <v>1204</v>
      </c>
      <c r="H32" s="1507"/>
      <c r="I32" s="1550"/>
      <c r="J32" s="95"/>
      <c r="K32" s="677"/>
      <c r="L32" s="677"/>
      <c r="M32" s="2"/>
      <c r="N32" s="60"/>
      <c r="O32" s="10"/>
      <c r="P32" s="10"/>
      <c r="Q32" s="10"/>
    </row>
    <row r="33" spans="1:17" ht="15.75" customHeight="1" x14ac:dyDescent="0.2">
      <c r="A33" s="1"/>
      <c r="B33" s="496"/>
      <c r="C33" s="1508">
        <v>1</v>
      </c>
      <c r="D33" s="663" t="s">
        <v>1240</v>
      </c>
      <c r="E33" s="1509">
        <v>1</v>
      </c>
      <c r="F33" s="663" t="s">
        <v>1241</v>
      </c>
      <c r="G33" s="1509">
        <v>1</v>
      </c>
      <c r="H33" s="663" t="s">
        <v>1241</v>
      </c>
      <c r="I33" s="1548" t="s">
        <v>563</v>
      </c>
      <c r="J33" s="743"/>
      <c r="K33" s="677" t="s">
        <v>1303</v>
      </c>
      <c r="L33" s="677" t="s">
        <v>394</v>
      </c>
      <c r="M33" s="2"/>
      <c r="N33" s="60"/>
      <c r="O33" s="10"/>
      <c r="P33" s="10"/>
      <c r="Q33" s="10"/>
    </row>
    <row r="34" spans="1:17" ht="15.75" customHeight="1" thickBot="1" x14ac:dyDescent="0.25">
      <c r="A34" s="1"/>
      <c r="B34" s="496"/>
      <c r="C34" s="1512" t="s">
        <v>655</v>
      </c>
      <c r="D34" s="663" t="s">
        <v>1240</v>
      </c>
      <c r="E34" s="678" t="s">
        <v>703</v>
      </c>
      <c r="F34" s="1514" t="s">
        <v>1241</v>
      </c>
      <c r="G34" s="678" t="s">
        <v>655</v>
      </c>
      <c r="H34" s="663" t="s">
        <v>838</v>
      </c>
      <c r="I34" s="1549" t="s">
        <v>564</v>
      </c>
      <c r="J34" s="743"/>
      <c r="K34" s="677" t="s">
        <v>1304</v>
      </c>
      <c r="L34" s="677" t="s">
        <v>926</v>
      </c>
      <c r="M34" s="2"/>
      <c r="N34" s="60"/>
      <c r="O34" s="10"/>
      <c r="P34" s="10"/>
      <c r="Q34" s="10"/>
    </row>
    <row r="35" spans="1:17" ht="15.75" customHeight="1" thickBot="1" x14ac:dyDescent="0.25">
      <c r="A35" s="1"/>
      <c r="B35" s="496"/>
      <c r="C35" s="1512" t="s">
        <v>414</v>
      </c>
      <c r="D35" s="1515">
        <v>10</v>
      </c>
      <c r="E35" s="1512" t="s">
        <v>415</v>
      </c>
      <c r="F35" s="1515">
        <v>10</v>
      </c>
      <c r="G35" s="1513" t="s">
        <v>414</v>
      </c>
      <c r="H35" s="1515">
        <v>10</v>
      </c>
      <c r="I35" s="1549" t="s">
        <v>565</v>
      </c>
      <c r="J35" s="743"/>
      <c r="K35" s="677" t="s">
        <v>1307</v>
      </c>
      <c r="L35" s="677" t="s">
        <v>692</v>
      </c>
      <c r="M35" s="2"/>
      <c r="N35" s="60"/>
      <c r="O35" s="10"/>
      <c r="P35" s="10"/>
      <c r="Q35" s="10"/>
    </row>
    <row r="36" spans="1:17" ht="15" customHeight="1" x14ac:dyDescent="0.2">
      <c r="A36" s="1"/>
      <c r="B36" s="496"/>
      <c r="C36" s="1675" t="b">
        <v>0</v>
      </c>
      <c r="D36" s="1729">
        <f>IF(AND(C36=TRUE,C37=FALSE,D35&lt;=200),_нестанд,IF(AND(C36=FALSE,C37=FALSE,D35&gt;200,D35&lt;=499),_нестанд,IF(AND(C36=TRUE,C37=FALSE,D35&gt;200,D35&lt;=499),_нестанд,0)))</f>
        <v>0</v>
      </c>
      <c r="E36" s="1671" t="b">
        <v>0</v>
      </c>
      <c r="F36" s="1729">
        <f>IF(AND(E36=TRUE,E37=FALSE,F35&lt;=200),PRODUCT(_нестанд,2),IF(AND(E36=FALSE,E37=FALSE,F35&gt;200,F35&lt;=499),PRODUCT(_нестанд,2),IF(AND(E36=TRUE,E37=FALSE,F35&gt;200,F35&lt;=499),PRODUCT(_нестанд,2),0)))</f>
        <v>0</v>
      </c>
      <c r="G36" s="1671" t="b">
        <v>0</v>
      </c>
      <c r="H36" s="1729">
        <f>IF(AND(G36=TRUE,G37=FALSE,H35&lt;=200),PRODUCT(_нестанд,2),IF(AND(G36=FALSE,G37=FALSE,H35&gt;200,H35&lt;=499),PRODUCT(_нестанд,2),IF(AND(G36=TRUE,G37=FALSE,H35&gt;200,H35&lt;=499),PRODUCT(_нестанд,2),0)))</f>
        <v>0</v>
      </c>
      <c r="I36" s="1549"/>
      <c r="J36" s="743"/>
      <c r="K36" s="677"/>
      <c r="L36" s="677"/>
      <c r="M36" s="2"/>
      <c r="N36" s="60"/>
      <c r="O36" s="10"/>
      <c r="P36" s="10"/>
      <c r="Q36" s="10"/>
    </row>
    <row r="37" spans="1:17" ht="15" customHeight="1" x14ac:dyDescent="0.2">
      <c r="A37" s="1"/>
      <c r="B37" s="496"/>
      <c r="C37" s="1675" t="b">
        <v>0</v>
      </c>
      <c r="D37" s="1729">
        <f>IF(AND(C37=TRUE,C36=FALSE),_ПМЗ,IF(AND(C37=TRUE,C36=TRUE),_ПМЗ,IF(D35&gt;=500,_ПМЗ,0)))</f>
        <v>0</v>
      </c>
      <c r="E37" s="1671" t="b">
        <v>0</v>
      </c>
      <c r="F37" s="1729">
        <f>IF(AND(E37=TRUE,E36=FALSE),PRODUCT(_ПМЗ,2),IF(AND(E37=TRUE,E36=TRUE),PRODUCT(_ПМЗ,2),IF(F35&gt;=500,PRODUCT(_ПМЗ,2),0)))</f>
        <v>0</v>
      </c>
      <c r="G37" s="1671" t="b">
        <v>0</v>
      </c>
      <c r="H37" s="1729">
        <f>IF(AND(G37=TRUE,G36=FALSE),PRODUCT(_ПМЗ,2),IF(AND(G37=TRUE,G36=TRUE),PRODUCT(_ПМЗ,2),IF(H35&gt;=500,PRODUCT(_ПМЗ,2),0)))</f>
        <v>0</v>
      </c>
      <c r="I37" s="1548" t="s">
        <v>255</v>
      </c>
      <c r="J37" s="743"/>
      <c r="K37" s="683" t="s">
        <v>1308</v>
      </c>
      <c r="L37" s="683"/>
      <c r="M37" s="2"/>
      <c r="N37" s="60"/>
      <c r="O37" s="10"/>
      <c r="P37" s="10"/>
      <c r="Q37" s="10"/>
    </row>
    <row r="38" spans="1:17" ht="15" customHeight="1" x14ac:dyDescent="0.2">
      <c r="A38" s="1"/>
      <c r="B38" s="496"/>
      <c r="C38" s="1675" t="b">
        <v>0</v>
      </c>
      <c r="D38" s="1729">
        <f>IF(C38=TRUE,_ip68,0)</f>
        <v>0</v>
      </c>
      <c r="E38" s="1671" t="b">
        <v>0</v>
      </c>
      <c r="F38" s="1729">
        <f>IF(E38=TRUE,_ip68*2,0)</f>
        <v>0</v>
      </c>
      <c r="G38" s="1671" t="b">
        <v>0</v>
      </c>
      <c r="H38" s="1729">
        <f>IF(G38=TRUE,_ip68*2,0)</f>
        <v>0</v>
      </c>
      <c r="I38" s="744" t="s">
        <v>405</v>
      </c>
      <c r="J38" s="743"/>
      <c r="K38" s="683" t="s">
        <v>1305</v>
      </c>
      <c r="L38" s="683"/>
      <c r="M38" s="2"/>
      <c r="N38" s="60"/>
      <c r="O38" s="10"/>
      <c r="P38" s="10"/>
      <c r="Q38" s="10"/>
    </row>
    <row r="39" spans="1:17" ht="15" customHeight="1" x14ac:dyDescent="0.2">
      <c r="A39" s="1"/>
      <c r="B39" s="497"/>
      <c r="C39" s="1675" t="b">
        <v>0</v>
      </c>
      <c r="D39" s="1730">
        <f ca="1">SUM(SUMIF(номер_ЭБ1,C33,цена_ЭБ1))</f>
        <v>42000</v>
      </c>
      <c r="E39" s="1672" t="b">
        <v>0</v>
      </c>
      <c r="F39" s="1730">
        <f>SUM(SUMIF(номер_ЭБ3,E33,Цена_ЭБ3))</f>
        <v>58800</v>
      </c>
      <c r="G39" s="1673" t="b">
        <v>0</v>
      </c>
      <c r="H39" s="1730">
        <f>SUM(SUMIF(номер_ЭБ2,G33,Цена_ЭБ2))</f>
        <v>50400</v>
      </c>
      <c r="I39" s="744"/>
      <c r="J39" s="743"/>
      <c r="K39" s="683"/>
      <c r="L39" s="683"/>
      <c r="M39" s="2"/>
      <c r="N39" s="60"/>
      <c r="O39" s="10"/>
      <c r="P39" s="10"/>
      <c r="Q39" s="10"/>
    </row>
    <row r="40" spans="1:17" ht="11.25" customHeight="1" x14ac:dyDescent="0.2">
      <c r="A40" s="1"/>
      <c r="B40" s="496"/>
      <c r="C40" s="1676"/>
      <c r="D40" s="1731">
        <f>IF(D35&gt;=500,_КСС2Э*D35,IF(AND(D35&lt;500,D37&gt;0),_КСС2Э*D35,РК50*2*D35))</f>
        <v>700</v>
      </c>
      <c r="E40" s="1677"/>
      <c r="F40" s="1731">
        <f>IF(F35&gt;=500,_КСС4Э*F35,IF(AND(F35&lt;500,F37&gt;0),_КСС4Э*F35,РК50*4*F35))</f>
        <v>1400</v>
      </c>
      <c r="G40" s="1674"/>
      <c r="H40" s="1731">
        <f>IF(H35&gt;=500,_КСС2Э*2*H35,IF(AND(H35&lt;500,H37&gt;0),_КСС2Э*2*H35,РК50*4*H35))</f>
        <v>1400</v>
      </c>
      <c r="I40" s="1548"/>
      <c r="J40" s="743"/>
      <c r="K40" s="139"/>
      <c r="L40" s="139"/>
      <c r="M40" s="2"/>
      <c r="N40" s="60"/>
      <c r="O40" s="10"/>
      <c r="P40" s="10"/>
      <c r="Q40" s="10"/>
    </row>
    <row r="41" spans="1:17" ht="11.25" customHeight="1" x14ac:dyDescent="0.2">
      <c r="A41" s="1"/>
      <c r="B41" s="496"/>
      <c r="C41" s="1663"/>
      <c r="D41" s="1732"/>
      <c r="E41" s="1678"/>
      <c r="F41" s="1732"/>
      <c r="G41" s="1666"/>
      <c r="H41" s="1732"/>
      <c r="I41" s="744" t="s">
        <v>261</v>
      </c>
      <c r="J41" s="743"/>
      <c r="K41" s="584" t="s">
        <v>1309</v>
      </c>
      <c r="L41" s="584" t="s">
        <v>690</v>
      </c>
      <c r="M41" s="2"/>
      <c r="N41" s="60"/>
      <c r="O41" s="10"/>
      <c r="P41" s="10"/>
      <c r="Q41" s="10"/>
    </row>
    <row r="42" spans="1:17" ht="11.25" customHeight="1" x14ac:dyDescent="0.2">
      <c r="A42" s="1"/>
      <c r="B42" s="496"/>
      <c r="C42" s="1663"/>
      <c r="D42" s="1733"/>
      <c r="E42" s="1679"/>
      <c r="F42" s="1737"/>
      <c r="G42" s="1666"/>
      <c r="H42" s="1733"/>
      <c r="I42" s="744" t="s">
        <v>262</v>
      </c>
      <c r="J42" s="743"/>
      <c r="K42" s="584" t="s">
        <v>1310</v>
      </c>
      <c r="L42" s="584" t="s">
        <v>691</v>
      </c>
      <c r="M42" s="2"/>
      <c r="N42" s="60"/>
      <c r="O42" s="10"/>
      <c r="P42" s="10"/>
      <c r="Q42" s="10"/>
    </row>
    <row r="43" spans="1:17" ht="11.25" customHeight="1" x14ac:dyDescent="0.2">
      <c r="A43" s="1"/>
      <c r="B43" s="496"/>
      <c r="C43" s="1663"/>
      <c r="D43" s="1733"/>
      <c r="E43" s="1679"/>
      <c r="F43" s="1737"/>
      <c r="G43" s="1667"/>
      <c r="H43" s="1733"/>
      <c r="I43" s="744" t="s">
        <v>259</v>
      </c>
      <c r="J43" s="743"/>
      <c r="K43" s="585" t="s">
        <v>656</v>
      </c>
      <c r="L43" s="585"/>
      <c r="M43" s="2"/>
      <c r="N43" s="60"/>
      <c r="O43" s="10"/>
      <c r="P43" s="10"/>
      <c r="Q43" s="10"/>
    </row>
    <row r="44" spans="1:17" ht="11.25" customHeight="1" x14ac:dyDescent="0.2">
      <c r="A44" s="1"/>
      <c r="B44" s="496"/>
      <c r="C44" s="1663"/>
      <c r="D44" s="1733"/>
      <c r="E44" s="1679"/>
      <c r="F44" s="1737"/>
      <c r="G44" s="1666"/>
      <c r="H44" s="1733"/>
      <c r="I44" s="744"/>
      <c r="J44" s="743"/>
      <c r="K44" s="585" t="s">
        <v>924</v>
      </c>
      <c r="L44" s="585"/>
      <c r="M44" s="2"/>
      <c r="N44" s="60"/>
      <c r="O44" s="10"/>
      <c r="P44" s="10"/>
      <c r="Q44" s="10"/>
    </row>
    <row r="45" spans="1:17" ht="11.25" customHeight="1" x14ac:dyDescent="0.2">
      <c r="A45" s="1"/>
      <c r="B45" s="496"/>
      <c r="C45" s="1663"/>
      <c r="D45" s="1733"/>
      <c r="E45" s="1680"/>
      <c r="F45" s="1737"/>
      <c r="G45" s="1667"/>
      <c r="H45" s="1733"/>
      <c r="I45" s="744" t="s">
        <v>1325</v>
      </c>
      <c r="J45" s="743"/>
      <c r="K45" s="135"/>
      <c r="L45" s="135"/>
      <c r="M45" s="2"/>
      <c r="N45" s="60"/>
      <c r="O45" s="10"/>
      <c r="P45" s="10"/>
      <c r="Q45" s="10"/>
    </row>
    <row r="46" spans="1:17" ht="11.25" customHeight="1" x14ac:dyDescent="0.2">
      <c r="A46" s="1"/>
      <c r="B46" s="496"/>
      <c r="C46" s="1663"/>
      <c r="D46" s="1733"/>
      <c r="E46" s="1679"/>
      <c r="F46" s="1737"/>
      <c r="G46" s="1667"/>
      <c r="H46" s="1733"/>
      <c r="I46" s="746" t="s">
        <v>260</v>
      </c>
      <c r="J46" s="743"/>
      <c r="K46" s="135"/>
      <c r="L46" s="135"/>
      <c r="M46" s="2"/>
      <c r="N46" s="60"/>
      <c r="O46" s="10"/>
      <c r="P46" s="10"/>
      <c r="Q46" s="10"/>
    </row>
    <row r="47" spans="1:17" ht="11.25" customHeight="1" x14ac:dyDescent="0.2">
      <c r="A47" s="1"/>
      <c r="B47" s="496"/>
      <c r="C47" s="1663"/>
      <c r="D47" s="1734"/>
      <c r="E47" s="1679"/>
      <c r="F47" s="1734"/>
      <c r="G47" s="1667"/>
      <c r="H47" s="1734"/>
      <c r="I47" s="686" t="s">
        <v>406</v>
      </c>
      <c r="J47" s="745"/>
      <c r="K47" s="140"/>
      <c r="L47" s="140"/>
      <c r="M47" s="748"/>
      <c r="N47" s="60"/>
      <c r="O47" s="10"/>
      <c r="P47" s="10"/>
      <c r="Q47" s="10"/>
    </row>
    <row r="48" spans="1:17" ht="11.25" customHeight="1" x14ac:dyDescent="0.2">
      <c r="A48" s="1"/>
      <c r="B48" s="496"/>
      <c r="C48" s="1664"/>
      <c r="D48" s="1735"/>
      <c r="E48" s="1679"/>
      <c r="F48" s="1738"/>
      <c r="G48" s="1667"/>
      <c r="H48" s="1735"/>
      <c r="I48" s="1551"/>
      <c r="J48" s="1552"/>
      <c r="K48" s="140"/>
      <c r="L48" s="140"/>
      <c r="M48" s="748"/>
      <c r="N48" s="60"/>
      <c r="O48" s="10"/>
      <c r="P48" s="10"/>
      <c r="Q48" s="10"/>
    </row>
    <row r="49" spans="1:17" ht="16.5" customHeight="1" x14ac:dyDescent="0.25">
      <c r="A49" s="1"/>
      <c r="B49" s="305" t="s">
        <v>654</v>
      </c>
      <c r="C49" s="1665"/>
      <c r="D49" s="1736">
        <f ca="1">SUM(D36:D40)</f>
        <v>42700</v>
      </c>
      <c r="E49" s="1681"/>
      <c r="F49" s="1739">
        <f>SUM(F36:F40)</f>
        <v>60200</v>
      </c>
      <c r="G49" s="1681"/>
      <c r="H49" s="1736">
        <f>SUM(H36:H40)</f>
        <v>51800</v>
      </c>
      <c r="I49" s="1582" t="b">
        <v>0</v>
      </c>
      <c r="J49" s="1553"/>
      <c r="K49" s="303"/>
      <c r="L49" s="303"/>
      <c r="M49" s="2"/>
      <c r="N49" s="60"/>
      <c r="O49" s="10"/>
      <c r="P49" s="10"/>
      <c r="Q49" s="10"/>
    </row>
    <row r="50" spans="1:17" ht="15" customHeight="1" x14ac:dyDescent="0.2">
      <c r="A50" s="1"/>
      <c r="B50" s="304" t="s">
        <v>158</v>
      </c>
      <c r="C50" s="309" t="s">
        <v>472</v>
      </c>
      <c r="D50" s="507" t="s">
        <v>986</v>
      </c>
      <c r="E50" s="309"/>
      <c r="F50" s="308" t="s">
        <v>986</v>
      </c>
      <c r="G50" s="309" t="s">
        <v>472</v>
      </c>
      <c r="H50" s="307" t="s">
        <v>986</v>
      </c>
      <c r="I50" s="311" t="s">
        <v>44</v>
      </c>
      <c r="J50" s="312" t="s">
        <v>837</v>
      </c>
      <c r="K50" s="739" t="s">
        <v>1302</v>
      </c>
      <c r="L50" s="738" t="s">
        <v>693</v>
      </c>
      <c r="M50" s="749"/>
      <c r="N50" s="60"/>
      <c r="O50" s="10"/>
      <c r="P50" s="10"/>
      <c r="Q50" s="10"/>
    </row>
    <row r="51" spans="1:17" ht="15" customHeight="1" x14ac:dyDescent="0.2">
      <c r="A51" s="1"/>
      <c r="B51" s="288">
        <v>15</v>
      </c>
      <c r="C51" s="786">
        <f ca="1">IF(C39=TRUE,"резьбовой!",IF(AND(C39=FALSE,I49=TRUE),SUM($D$49,УПР_015РГ1*1.6),SUM($D$49,УПР_015РГ1)))</f>
        <v>62300</v>
      </c>
      <c r="D51" s="687">
        <f ca="1">IF(AND(C39=TRUE,I49=TRUE),SUM($D$49,УПР_015ФГ1*1.6,КОФ_15*1.6),IF(AND(C39=FALSE,I49=TRUE),SUM($D$49,УПР_015ФГ1*1.6),IF(AND(C39=TRUE,I49=FALSE),SUM($D$49,УПР_015ФГ1,КОФ_15),SUM($D$49,УПР_015ФГ1))))</f>
        <v>63700</v>
      </c>
      <c r="E51" s="1537"/>
      <c r="F51" s="1538"/>
      <c r="G51" s="1523">
        <f>IF(G39=TRUE,"резьбовой!",IF(AND(G39=FALSE,I49=TRUE),SUM($H$49,УПР_015РГ1*1.6*2),SUM($H$49,УПР_015РГ1*2)))</f>
        <v>91000</v>
      </c>
      <c r="H51" s="687">
        <f>IF(AND(G39=TRUE,I49=TRUE),SUM($H$49,УПР_015ФГ1*1.6*2,КОФ_15*1.6*2),IF(AND(G39=FALSE,I49=TRUE),SUM($H$49,УПР_015ФГ1*1.6*2),IF(AND(G39=TRUE,I49=FALSE),SUM($H$49,УПР_015ФГ1*2,КОФ_15*2),SUM($H$49,УПР_015ФГ1*2))))</f>
        <v>93800</v>
      </c>
      <c r="I51" s="768" t="s">
        <v>1131</v>
      </c>
      <c r="J51" s="762" t="s">
        <v>1125</v>
      </c>
      <c r="K51" s="1516">
        <f>IF(I49=TRUE,КОФ_15*1.6,КОФ_15)</f>
        <v>2100</v>
      </c>
      <c r="L51" s="756">
        <f>ящ_15</f>
        <v>1400</v>
      </c>
      <c r="M51" s="2"/>
      <c r="N51" s="60"/>
      <c r="O51" s="10"/>
      <c r="P51" s="10"/>
      <c r="Q51" s="10"/>
    </row>
    <row r="52" spans="1:17" ht="15" customHeight="1" x14ac:dyDescent="0.2">
      <c r="A52" s="1"/>
      <c r="B52" s="288">
        <v>20</v>
      </c>
      <c r="C52" s="787">
        <f ca="1">IF(C39=TRUE,"резьбовой!",IF(AND(C39=FALSE,I49=TRUE),SUM($D$49,УПР_025РГ1*1.6),SUM($D$49,УПР_025РГ1)))</f>
        <v>63700</v>
      </c>
      <c r="D52" s="1519">
        <f ca="1">IF(AND(C39=TRUE,I49=TRUE),SUM($D$49,УПР_025ФГ1*1.6,КОФ_25*1.6),IF(AND(C39=FALSE,I49=TRUE),SUM($D$49,УПР_025ФГ1*1.6),IF(AND(C39=TRUE,I49=FALSE),SUM($D$49,УПР_025ФГ1,КОФ_25),SUM($D$49,УПР_025ФГ1))))</f>
        <v>66500</v>
      </c>
      <c r="E52" s="779"/>
      <c r="F52" s="754"/>
      <c r="G52" s="787">
        <f>IF(G39=TRUE,"резьбовой!",IF(AND(G39=FALSE,I49=TRUE),SUM($H$49,УПР_025РГ1*1.6*2),SUM($H$49,УПР_025РГ1*2)))</f>
        <v>93800</v>
      </c>
      <c r="H52" s="1519">
        <f>IF(AND(G39=TRUE,I49=TRUE),SUM($H$49,УПР_025ФГ1*1.6*2,КОФ_25*1.6*2),IF(AND(G39=FALSE,I49=TRUE),SUM($H$49,УПР_025ФГ1*1.6*2),IF(AND(G39=TRUE,I49=FALSE),SUM($H$49,УПР_025ФГ1*2,КОФ_25*2),SUM($H$49,УПР_025ФГ1*2))))</f>
        <v>99400</v>
      </c>
      <c r="I52" s="769" t="s">
        <v>1131</v>
      </c>
      <c r="J52" s="763" t="s">
        <v>1125</v>
      </c>
      <c r="K52" s="1517">
        <f>IF(I49=TRUE,КОФ_25*1.6,КОФ_25)</f>
        <v>2520</v>
      </c>
      <c r="L52" s="760">
        <f>ящ_25</f>
        <v>1400</v>
      </c>
      <c r="M52" s="2"/>
      <c r="N52" s="60"/>
      <c r="O52" s="10"/>
      <c r="P52" s="10"/>
      <c r="Q52" s="10"/>
    </row>
    <row r="53" spans="1:17" ht="15" customHeight="1" x14ac:dyDescent="0.2">
      <c r="A53" s="1"/>
      <c r="B53" s="288">
        <v>25</v>
      </c>
      <c r="C53" s="787">
        <f ca="1">IF(C39=TRUE,"резьбовой!",IF(AND(C39=FALSE,I49=TRUE),SUM($D$49,УПР_025РГ1*1.6),SUM($D$49,УПР_025РГ1)))</f>
        <v>63700</v>
      </c>
      <c r="D53" s="1519">
        <f ca="1">IF(AND(C39=TRUE,I49=TRUE),SUM($D$49,УПР_025ФГ1*1.6,КОФ_25*1.6),IF(AND(C39=FALSE,I49=TRUE),SUM($D$49,УПР_025ФГ1*1.6),IF(AND(C39=TRUE,I49=FALSE),SUM($D$49,УПР_025ФГ1,КОФ_25),SUM($D$49,УПР_025ФГ1))))</f>
        <v>66500</v>
      </c>
      <c r="E53" s="781"/>
      <c r="F53" s="1539"/>
      <c r="G53" s="791">
        <f>IF(G39=TRUE,"резьбовой!",IF(AND(G39=FALSE,I49=TRUE),SUM($H$49,УПР_025РГ1*1.6*2),SUM($H$49,УПР_025РГ1*2)))</f>
        <v>93800</v>
      </c>
      <c r="H53" s="1494">
        <f>IF(AND(G39=TRUE,I49=TRUE),SUM($H$49,УПР_025ФГ1*1.6*2,КОФ_25*1.6*2),IF(AND(G39=FALSE,I49=TRUE),SUM($H$49,УПР_025ФГ1*1.6*2),IF(AND(G39=TRUE,I49=FALSE),SUM($H$49,УПР_025ФГ1*2,КОФ_25*2),SUM($H$49,УПР_025ФГ1*2))))</f>
        <v>99400</v>
      </c>
      <c r="I53" s="769" t="s">
        <v>1131</v>
      </c>
      <c r="J53" s="763" t="s">
        <v>1125</v>
      </c>
      <c r="K53" s="1517">
        <f>IF(I49=TRUE,КОФ_25*1.6,КОФ_25)</f>
        <v>2520</v>
      </c>
      <c r="L53" s="760">
        <f>ящ_25</f>
        <v>1400</v>
      </c>
      <c r="M53" s="2"/>
      <c r="N53" s="60"/>
      <c r="O53" s="10"/>
      <c r="P53" s="10"/>
      <c r="Q53" s="10"/>
    </row>
    <row r="54" spans="1:17" ht="15" customHeight="1" x14ac:dyDescent="0.2">
      <c r="A54" s="1"/>
      <c r="B54" s="288">
        <v>32</v>
      </c>
      <c r="C54" s="788"/>
      <c r="D54" s="1494">
        <f ca="1">IF(AND(C39=TRUE,I49=TRUE),SUM($D$49,УПР_032ФГ1*1.6,КОФ_32*1.6),IF(AND(C39=FALSE,I49=TRUE),SUM($D$49,УПР_032ФГ1*1.6),IF(AND(C39=TRUE,I49=FALSE),SUM($D$49,УПР_032ФГ1,КОФ_32),SUM($D$49,УПР_032ФГ1))))</f>
        <v>59500</v>
      </c>
      <c r="E54" s="781"/>
      <c r="F54" s="1540"/>
      <c r="G54" s="779"/>
      <c r="H54" s="1494">
        <f>IF(AND(G39=TRUE,I49=TRUE),SUM($H$49,УПР_032ФГ1*1.6*2,КОФ_32*1.6*2),IF(AND(G39=FALSE,I49=TRUE),SUM($H$49,УПР_032ФГ1*1.6*2),IF(AND(G39=TRUE,I49=FALSE),SUM($H$49,УПР_032ФГ1*2,КОФ_32*2),SUM($H$49,УПР_032ФГ1*2))))</f>
        <v>85400</v>
      </c>
      <c r="I54" s="769" t="s">
        <v>1131</v>
      </c>
      <c r="J54" s="764" t="s">
        <v>1125</v>
      </c>
      <c r="K54" s="1517">
        <f>IF(I49=TRUE,КОФ_32*1.6,КОФ_32)</f>
        <v>2800</v>
      </c>
      <c r="L54" s="760">
        <f>ящ_32</f>
        <v>1400</v>
      </c>
      <c r="M54" s="2"/>
      <c r="N54" s="60"/>
      <c r="O54" s="10"/>
      <c r="P54" s="10"/>
      <c r="Q54" s="10"/>
    </row>
    <row r="55" spans="1:17" ht="15" customHeight="1" x14ac:dyDescent="0.2">
      <c r="A55" s="1"/>
      <c r="B55" s="288">
        <v>40</v>
      </c>
      <c r="C55" s="779"/>
      <c r="D55" s="1520">
        <f ca="1">IF(AND(C39=TRUE,I49=TRUE),SUM($D$49,УПР_040ФГ1*1.6,КОФ_40*1.6),IF(AND(C39=FALSE,I49=TRUE),SUM($D$49,УПР_040ФГ1*1.6),IF(AND(C39=TRUE,I49=FALSE),SUM($D$49,УПР_040ФГ1,КОФ_40),SUM($D$49,УПР_040ФГ1))))</f>
        <v>59500</v>
      </c>
      <c r="E55" s="779"/>
      <c r="F55" s="1541"/>
      <c r="G55" s="781"/>
      <c r="H55" s="688">
        <f>IF(AND(G39=TRUE,I49=TRUE),SUM($H$49,УПР_040ФГ1*1.6*2,КОФ_40*1.6*2),IF(AND(G39=FALSE,I49=TRUE),SUM($H$49,УПР_040ФГ1*1.6*2),IF(AND(G39=TRUE,I49=FALSE),SUM($H$49,УПР_040ФГ1*2,КОФ_40*2),SUM($H$49,УПР_040ФГ1*2))))</f>
        <v>85400</v>
      </c>
      <c r="I55" s="769" t="s">
        <v>1131</v>
      </c>
      <c r="J55" s="763" t="s">
        <v>1125</v>
      </c>
      <c r="K55" s="1518">
        <f>IF(I49=TRUE,КОФ_40*1.6,КОФ_40)</f>
        <v>2800</v>
      </c>
      <c r="L55" s="760">
        <f>ящ_40</f>
        <v>1400</v>
      </c>
      <c r="M55" s="2"/>
      <c r="N55" s="60"/>
      <c r="O55" s="10"/>
      <c r="P55" s="10"/>
      <c r="Q55" s="10"/>
    </row>
    <row r="56" spans="1:17" ht="15" customHeight="1" x14ac:dyDescent="0.2">
      <c r="A56" s="1"/>
      <c r="B56" s="288">
        <v>50</v>
      </c>
      <c r="C56" s="781"/>
      <c r="D56" s="1519">
        <f ca="1">IF(AND(C39=TRUE,I49=TRUE),SUM($D$49,УПР_050ФГ1*1.6,КОФ_50*1.6),IF(AND(C39=FALSE,I49=TRUE),SUM($D$49,УПР_050ФГ1*1.6),IF(AND(C39=TRUE,I49=FALSE),SUM($D$49,УПР_050ФГ1,КОФ_50),SUM($D$49,УПР_050ФГ1))))</f>
        <v>63700</v>
      </c>
      <c r="E56" s="780"/>
      <c r="F56" s="1494">
        <f>IF(AND(E39=TRUE,I49=TRUE),SUM($F$49,УПР_050ФГ2*1.6,КОФ_50*1.6),IF(AND(E39=FALSE,I49=TRUE),SUM($F$49,УПР_050ФГ2*1.6),IF(AND(E39=TRUE,I49=FALSE),SUM($F$49,УПР_050ФГ2,КОФ_50),SUM($F$49,УПР_050ФГ2))))</f>
        <v>102200</v>
      </c>
      <c r="G56" s="781"/>
      <c r="H56" s="1494">
        <f>IF(AND(G39=TRUE,I49=TRUE),SUM($H$49,УПР_050ФГ1*1.6*2,КОФ_50*1.6*2),IF(AND(G39=FALSE,I49=TRUE),SUM($H$49,УПР_050ФГ1*1.6*2),IF(AND(G39=TRUE,I49=FALSE),SUM($H$49,УПР_050ФГ1*2,КОФ_50*2),SUM($H$49,УПР_050ФГ1*2))))</f>
        <v>93800</v>
      </c>
      <c r="I56" s="770" t="s">
        <v>1131</v>
      </c>
      <c r="J56" s="764" t="s">
        <v>1125</v>
      </c>
      <c r="K56" s="1518">
        <f>IF(I49=TRUE,КОФ_50*1.6,КОФ_50)</f>
        <v>3500</v>
      </c>
      <c r="L56" s="760">
        <f>ящ_50</f>
        <v>1400</v>
      </c>
      <c r="M56" s="2"/>
      <c r="N56" s="60"/>
      <c r="O56" s="10"/>
      <c r="P56" s="10"/>
      <c r="Q56" s="10"/>
    </row>
    <row r="57" spans="1:17" ht="15" customHeight="1" x14ac:dyDescent="0.2">
      <c r="A57" s="1"/>
      <c r="B57" s="288">
        <v>65</v>
      </c>
      <c r="C57" s="1536"/>
      <c r="D57" s="1519">
        <f ca="1">IF(AND(C39=TRUE,I49=TRUE),SUM($D$49,УПР_065ФГ1*1.6,КОФ_65*1.6),IF(AND(C39=FALSE,I49=TRUE),SUM($D$49,УПР_065ФГ1*1.6),IF(AND(C39=TRUE,I49=FALSE),SUM($D$49,УПР_065ФГ1,КОФ_65),SUM($D$49,УПР_065ФГ1))))</f>
        <v>70700</v>
      </c>
      <c r="E57" s="781"/>
      <c r="F57" s="1494">
        <f>IF(AND(E39=TRUE,I49=TRUE),SUM($F$49,УПР_065ФГ2*1.6,КОФ_65*1.6),IF(AND(E39=FALSE,I49=TRUE),SUM($F$49,УПР_065ФГ2*1.6),IF(AND(E39=TRUE,I49=FALSE),SUM($F$49,УПР_065ФГ2,КОФ_65),SUM($F$49,УПР_065ФГ2))))</f>
        <v>114800</v>
      </c>
      <c r="G57" s="779"/>
      <c r="H57" s="688">
        <f>IF(AND(G39=TRUE,I49=TRUE),SUM($H$49,УПР_065ФГ1*1.6*2,КОФ_65*1.6*2),IF(AND(G39=FALSE,I49=TRUE),SUM($H$49,УПР_065ФГ1*1.6*2),IF(AND(G39=TRUE,I49=FALSE),SUM($H$49,УПР_065ФГ1*2,КОФ_65*2),SUM($H$49,УПР_065ФГ1*2))))</f>
        <v>107800</v>
      </c>
      <c r="I57" s="769" t="s">
        <v>1131</v>
      </c>
      <c r="J57" s="765" t="s">
        <v>1125</v>
      </c>
      <c r="K57" s="723">
        <f>IF(I49=TRUE,КОФ_65*1.6,КОФ_65)</f>
        <v>3920</v>
      </c>
      <c r="L57" s="760">
        <f>ящ_65</f>
        <v>1400</v>
      </c>
      <c r="M57" s="2"/>
      <c r="N57" s="60"/>
      <c r="O57" s="10"/>
      <c r="P57" s="10"/>
      <c r="Q57" s="10"/>
    </row>
    <row r="58" spans="1:17" ht="15" customHeight="1" x14ac:dyDescent="0.2">
      <c r="A58" s="1"/>
      <c r="B58" s="288">
        <v>80</v>
      </c>
      <c r="C58" s="1536"/>
      <c r="D58" s="1519">
        <f ca="1">IF(AND(C39=TRUE,I49=TRUE),SUM($D$49,УПР_080ФГ1*1.6,КОФ_80*1.6),IF(AND(C39=FALSE,I49=TRUE),SUM($D$49,УПР_080ФГ1*1.6),IF(AND(C39=TRUE,I49=FALSE),SUM($D$49,УПР_080ФГ1,КОФ_80),SUM($D$49,УПР_080ФГ1))))</f>
        <v>70700</v>
      </c>
      <c r="E58" s="781"/>
      <c r="F58" s="1494">
        <f>IF(AND(E39=TRUE,I49=TRUE),SUM($F$49,УПР_080ФГ2*1.6,КОФ_80*1.6),IF(AND(E39=FALSE,I49=TRUE),SUM($F$49,УПР_080ФГ2*1.6),IF(AND(E39=TRUE,I49=FALSE),SUM($F$49,УПР_080ФГ2,КОФ_80),SUM($F$49,УПР_080ФГ2))))</f>
        <v>116200</v>
      </c>
      <c r="G58" s="781"/>
      <c r="H58" s="1494">
        <f>IF(AND(G39=TRUE,I49=TRUE),SUM($H$49,УПР_080ФГ1*1.6*2,КОФ_80*1.6*2),IF(AND(G39=FALSE,I49=TRUE),SUM($H$49,УПР_080ФГ1*1.6*2),IF(AND(G39=TRUE,I49=FALSE),SUM($H$49,УПР_080ФГ1*2,КОФ_80*2),SUM($H$49,УПР_080ФГ1*2))))</f>
        <v>107800</v>
      </c>
      <c r="I58" s="769" t="s">
        <v>1131</v>
      </c>
      <c r="J58" s="763" t="s">
        <v>1125</v>
      </c>
      <c r="K58" s="1517">
        <f>IF(I49=TRUE,КОФ_80*1.6,КОФ_80)</f>
        <v>3920</v>
      </c>
      <c r="L58" s="761">
        <f>ящ_80</f>
        <v>1400</v>
      </c>
      <c r="M58" s="2"/>
      <c r="N58" s="60"/>
      <c r="O58" s="10"/>
      <c r="P58" s="10"/>
      <c r="Q58" s="10"/>
    </row>
    <row r="59" spans="1:17" ht="15" customHeight="1" x14ac:dyDescent="0.2">
      <c r="A59" s="1"/>
      <c r="B59" s="289">
        <v>100</v>
      </c>
      <c r="C59" s="1536"/>
      <c r="D59" s="1519"/>
      <c r="E59" s="779"/>
      <c r="F59" s="1494">
        <f>IF(AND(E39=TRUE,I49=TRUE),SUM($F$49,УПР_100ФГ2*1.6,КОФ_100*1.6),IF(AND(E39=FALSE,I49=TRUE),SUM($F$49,УПР_100ФГ2*1.6),IF(AND(E39=TRUE,I49=FALSE),SUM($F$49,УПР_100ФГ2,КОФ_100),SUM($F$49,УПР_100ФГ2))))</f>
        <v>119000</v>
      </c>
      <c r="G59" s="781"/>
      <c r="H59" s="688"/>
      <c r="I59" s="769" t="s">
        <v>1131</v>
      </c>
      <c r="J59" s="763" t="s">
        <v>1125</v>
      </c>
      <c r="K59" s="1517">
        <f>IF(I49=TRUE,КОФ_100*1.6,КОФ_100)</f>
        <v>4620</v>
      </c>
      <c r="L59" s="760">
        <f>ящ_100</f>
        <v>2100</v>
      </c>
      <c r="M59" s="2"/>
      <c r="N59" s="60"/>
      <c r="O59" s="10"/>
      <c r="P59" s="10"/>
      <c r="Q59" s="10"/>
    </row>
    <row r="60" spans="1:17" ht="15" customHeight="1" x14ac:dyDescent="0.2">
      <c r="A60" s="1"/>
      <c r="B60" s="289">
        <v>100</v>
      </c>
      <c r="C60" s="779"/>
      <c r="D60" s="1519">
        <f ca="1">IF(AND(C39=TRUE,I49=TRUE),SUM($D$49,УПР_100ФГ1*1.6,КОФ_100*1.6),IF(AND(C39=FALSE,I49=TRUE),SUM($D$49,УПР_100ФГ1*1.6),IF(AND(C39=TRUE,I49=FALSE),SUM($D$49,УПР_100ФГ1,КОФ_100),SUM($D$49,УПР_100ФГ1))))</f>
        <v>76300</v>
      </c>
      <c r="E60" s="781"/>
      <c r="F60" s="1494"/>
      <c r="G60" s="779"/>
      <c r="H60" s="1494">
        <f>IF(AND(G39=TRUE,I49=TRUE),SUM($H$49,УПР_100ФГ1*1.6*2,КОФ_100*1.6*2),IF(AND(G39=FALSE,I49=TRUE),SUM($H$49,УПР_100ФГ1*1.6*2),IF(AND(G39=TRUE,I49=FALSE),SUM($H$49,УПР_100ФГ1*2,КОФ_100*2),SUM($H$49,УПР_100ФГ1*2))))</f>
        <v>119000</v>
      </c>
      <c r="I60" s="769" t="s">
        <v>1132</v>
      </c>
      <c r="J60" s="766" t="s">
        <v>1125</v>
      </c>
      <c r="K60" s="1517">
        <f>IF(I49=TRUE,КОФ_100*1.6,КОФ_100)</f>
        <v>4620</v>
      </c>
      <c r="L60" s="760">
        <f>ящ_100</f>
        <v>2100</v>
      </c>
      <c r="M60" s="2"/>
      <c r="N60" s="60"/>
      <c r="O60" s="10"/>
      <c r="P60" s="10"/>
      <c r="Q60" s="10"/>
    </row>
    <row r="61" spans="1:17" ht="15" customHeight="1" x14ac:dyDescent="0.2">
      <c r="A61" s="1"/>
      <c r="B61" s="288">
        <v>125</v>
      </c>
      <c r="C61" s="1535"/>
      <c r="D61" s="1519"/>
      <c r="E61" s="755"/>
      <c r="F61" s="1494">
        <f>IF(AND(E39=TRUE,I49=TRUE),SUM($F$49,УПР_150ФГ2*1.6,КОФ_150*1.6),IF(AND(E39=FALSE,I49=TRUE),SUM($F$49,УПР_150ФГ2*1.6),IF(AND(E39=TRUE,I49=FALSE),SUM($F$49,УПР_150ФГ2,КОФ_150),SUM($F$49,УПР_150ФГ2))))</f>
        <v>144200</v>
      </c>
      <c r="G61" s="781"/>
      <c r="H61" s="1494"/>
      <c r="I61" s="769" t="s">
        <v>1131</v>
      </c>
      <c r="J61" s="763" t="s">
        <v>1125</v>
      </c>
      <c r="K61" s="1518">
        <f>IF(I49=TRUE,КОФ_150*1.6,КОФ_150)</f>
        <v>7000</v>
      </c>
      <c r="L61" s="760">
        <f>ящ_150</f>
        <v>2100</v>
      </c>
      <c r="M61" s="2"/>
      <c r="N61" s="60"/>
      <c r="O61" s="10"/>
      <c r="P61" s="10"/>
      <c r="Q61" s="10"/>
    </row>
    <row r="62" spans="1:17" ht="15" customHeight="1" x14ac:dyDescent="0.2">
      <c r="A62" s="1"/>
      <c r="B62" s="288">
        <v>125</v>
      </c>
      <c r="C62" s="1534"/>
      <c r="D62" s="1494">
        <f ca="1">IF(AND(C39=TRUE,I49=TRUE),SUM($D$49,УПР_150ФГ1*1.6,КОФ_150*1.6),IF(AND(C39=FALSE,I49=TRUE),SUM($D$49,УПР_150ФГ1*1.6),IF(AND(C39=TRUE,I49=FALSE),SUM($D$49,УПР_150ФГ1,КОФ_150),SUM($D$49,УПР_150ФГ1))))</f>
        <v>91700</v>
      </c>
      <c r="E62" s="1535"/>
      <c r="F62" s="1494"/>
      <c r="G62" s="1536"/>
      <c r="H62" s="1494">
        <f>IF(AND(G39=TRUE,I49=TRUE),SUM($H$49,УПР_150ФГ1*1.6*2,КОФ_150*1.6*2),IF(AND(G39=FALSE,I49=TRUE),SUM($H$49,УПР_150ФГ1*1.6*2),IF(AND(G39=TRUE,I49=FALSE),SUM($H$49,УПР_150ФГ1*2,КОФ_150*2),SUM($H$49,УПР_150ФГ1*2))))</f>
        <v>149800</v>
      </c>
      <c r="I62" s="769" t="s">
        <v>1132</v>
      </c>
      <c r="J62" s="763" t="s">
        <v>1125</v>
      </c>
      <c r="K62" s="1518">
        <f>IF(I49=TRUE,КОФ_150*1.6,КОФ_150)</f>
        <v>7000</v>
      </c>
      <c r="L62" s="760">
        <f>ящ_150</f>
        <v>2100</v>
      </c>
      <c r="M62" s="2"/>
      <c r="N62" s="60"/>
      <c r="O62" s="10"/>
      <c r="P62" s="10"/>
      <c r="Q62" s="10"/>
    </row>
    <row r="63" spans="1:17" ht="15" customHeight="1" x14ac:dyDescent="0.2">
      <c r="A63" s="1"/>
      <c r="B63" s="288">
        <v>150</v>
      </c>
      <c r="C63" s="755"/>
      <c r="D63" s="1520">
        <f ca="1">IF(AND(C39=TRUE,I49=TRUE),SUM($D$49,УПР_150ФГ1*1.6,КОФ_150*1.6),IF(AND(C39=FALSE,I49=TRUE),SUM($D$49,УПР_150ФГ1*1.6),IF(AND(C39=TRUE,I49=FALSE),SUM($D$49,УПР_150ФГ1,КОФ_150),SUM($D$49,УПР_150ФГ1))))</f>
        <v>91700</v>
      </c>
      <c r="E63" s="1535"/>
      <c r="F63" s="1494">
        <f>IF(AND(E39=TRUE,I49=TRUE),SUM($F$49,УПР_150ФГ2*1.6,КОФ_150*1.6),IF(AND(E39=FALSE,I49=TRUE),SUM($F$49,УПР_150ФГ2*1.6),IF(AND(E39=TRUE,I49=FALSE),SUM($F$49,УПР_150ФГ2,КОФ_150),SUM($F$49,УПР_150ФГ2))))</f>
        <v>144200</v>
      </c>
      <c r="G63" s="1536"/>
      <c r="H63" s="785">
        <f>IF(AND(G39=TRUE,I49=TRUE),SUM($H$49,УПР_150ФГ1*1.6*2,КОФ_150*1.6*2),IF(AND(G39=FALSE,I49=TRUE),SUM($H$49,УПР_150ФГ1*1.6*2),IF(AND(G39=TRUE,I49=FALSE),SUM($H$49,УПР_150ФГ1*2,КОФ_150*2),SUM($H$49,УПР_150ФГ1*2))))</f>
        <v>149800</v>
      </c>
      <c r="I63" s="769" t="s">
        <v>1132</v>
      </c>
      <c r="J63" s="763" t="s">
        <v>1125</v>
      </c>
      <c r="K63" s="1518">
        <f>IF(I49=TRUE,КОФ_150*1.6,КОФ_150)</f>
        <v>7000</v>
      </c>
      <c r="L63" s="760">
        <f>ящ_150</f>
        <v>2100</v>
      </c>
      <c r="M63" s="750"/>
      <c r="N63" s="67"/>
      <c r="O63" s="10"/>
      <c r="P63" s="10"/>
      <c r="Q63" s="10"/>
    </row>
    <row r="64" spans="1:17" ht="15" customHeight="1" x14ac:dyDescent="0.2">
      <c r="A64" s="1"/>
      <c r="B64" s="288">
        <v>200</v>
      </c>
      <c r="C64" s="781"/>
      <c r="D64" s="1494">
        <f ca="1">IF(AND(C39=TRUE,I49=TRUE),SUM($D$49,УПР_200ФГ1*1.6,КОФ_200*1.6),IF(AND(C39=FALSE,I49=TRUE),SUM($D$49,УПР_200ФГ1*1.6),IF(AND(C39=TRUE,I49=FALSE),SUM($D$49,УПР_200ФГ1,КОФ_200),SUM($D$49,УПР_200ФГ1))))</f>
        <v>112700</v>
      </c>
      <c r="E64" s="779"/>
      <c r="F64" s="688">
        <f>IF(AND(E39=TRUE,I49=TRUE),SUM($F$49,УПР_200ФГ2*1.6,КОФ_200*1.6),IF(AND(E39=FALSE,I49=TRUE),SUM($F$49,УПР_200ФГ2*1.6),IF(AND(E39=TRUE,I49=FALSE),SUM($F$49,УПР_200ФГ2,КОФ_200),SUM($F$49,УПР_200ФГ2))))</f>
        <v>179200</v>
      </c>
      <c r="G64" s="1536"/>
      <c r="H64" s="1519">
        <f>IF(AND(G39=TRUE,I49=TRUE),SUM($H$49,УПР_200ФГ1*1.6*2,КОФ_200*1.6*2),IF(AND(G39=FALSE,I49=TRUE),SUM($H$49,УПР_200ФГ1*1.6*2),IF(AND(G39=TRUE,I49=FALSE),SUM($H$49,УПР_200ФГ1*2,КОФ_200*2),SUM($H$49,УПР_200ФГ1*2))))</f>
        <v>191800</v>
      </c>
      <c r="I64" s="770" t="s">
        <v>1132</v>
      </c>
      <c r="J64" s="763" t="s">
        <v>1125</v>
      </c>
      <c r="K64" s="723">
        <f>IF(I49=TRUE,КОФ_200*1.6,КОФ_200)</f>
        <v>12320</v>
      </c>
      <c r="L64" s="760">
        <f>ящ_200</f>
        <v>2100</v>
      </c>
      <c r="M64" s="750"/>
      <c r="N64" s="67"/>
      <c r="O64" s="10"/>
      <c r="P64" s="10"/>
      <c r="Q64" s="10"/>
    </row>
    <row r="65" spans="1:18" ht="15" customHeight="1" x14ac:dyDescent="0.2">
      <c r="A65" s="1"/>
      <c r="B65" s="288">
        <v>250</v>
      </c>
      <c r="C65" s="781"/>
      <c r="D65" s="1494">
        <f ca="1">IF(AND(C39=TRUE,I49=TRUE),SUM($D$49,УПР_250ФГ1*1.6,КОФ_250*1.6),IF(AND(C39=FALSE,I49=TRUE),SUM($D$49,УПР_250ФГ1*1.6),IF(AND(C39=TRUE,I49=FALSE),SUM($D$49,УПР_250ФГ1,КОФ_250),SUM($D$49,УПР_250ФГ1))))</f>
        <v>217700</v>
      </c>
      <c r="E65" s="780"/>
      <c r="F65" s="1494">
        <f>IF(AND(E39=TRUE,I49=TRUE),SUM($F$49,УПР_250ФГ2*1.6,КОФ_250*1.6),IF(AND(E39=FALSE,I49=TRUE),SUM($F$49,УПР_250ФГ2*1.6),IF(AND(E39=TRUE,I49=FALSE),SUM($F$49,УПР_250ФГ2,КОФ_250),SUM($F$49,УПР_250ФГ2))))</f>
        <v>322700</v>
      </c>
      <c r="G65" s="779"/>
      <c r="H65" s="1494">
        <f>IF(AND(G39=TRUE,I49=TRUE),SUM($H$49,УПР_250ФГ1*1.6*2,КОФ_250*1.6*2),IF(AND(G39=FALSE,I49=TRUE),SUM($H$49,УПР_250ФГ1*1.6*2),IF(AND(G39=TRUE,I49=FALSE),SUM($H$49,УПР_250ФГ1*2,КОФ_250*2),SUM($H$49,УПР_250ФГ1*2))))</f>
        <v>401800</v>
      </c>
      <c r="I65" s="769" t="s">
        <v>1132</v>
      </c>
      <c r="J65" s="763" t="s">
        <v>1125</v>
      </c>
      <c r="K65" s="1518">
        <f>IF(I49=TRUE,КОФ_250*1.6,КОФ_250)</f>
        <v>17500</v>
      </c>
      <c r="L65" s="761">
        <f>ящ_250</f>
        <v>2800</v>
      </c>
      <c r="M65" s="750"/>
      <c r="N65" s="67"/>
      <c r="O65" s="10"/>
      <c r="P65" s="10"/>
      <c r="Q65" s="10"/>
    </row>
    <row r="66" spans="1:18" ht="15" customHeight="1" x14ac:dyDescent="0.2">
      <c r="A66" s="1"/>
      <c r="B66" s="289">
        <v>300</v>
      </c>
      <c r="C66" s="782"/>
      <c r="D66" s="1521">
        <f ca="1">IF(AND(C39=TRUE,I49=TRUE),SUM($D$49,УПР_300ФГ1*1.6,КОФ_300*1.6),IF(AND(C39=FALSE,I49=TRUE),SUM($D$49,УПР_300ФГ1*1.6),IF(AND(C39=TRUE,I49=FALSE),SUM($D$49,УПР_300ФГ1,КОФ_300),SUM($D$49,УПР_300ФГ1))))</f>
        <v>252700</v>
      </c>
      <c r="E66" s="801"/>
      <c r="F66" s="689">
        <f>IF(AND(E39=TRUE,I49=TRUE),SUM($F$49,УПР_300ФГ2*1.6,КОФ_300*1.6),IF(AND(E39=FALSE,I49=TRUE),SUM($F$49,УПР_300ФГ2*1.6),IF(AND(E39=TRUE,I49=FALSE),SUM($F$49,УПР_300ФГ2,КОФ_300),SUM($F$49,УПР_300ФГ2))))</f>
        <v>392700</v>
      </c>
      <c r="G66" s="801"/>
      <c r="H66" s="1522">
        <f>IF(AND(G39=TRUE,I49=TRUE),SUM($H$49,УПР_300ФГ1*1.6*2,КОФ_300*1.6*2),IF(AND(G39=FALSE,I49=TRUE),SUM($H$49,УПР_300ФГ1*1.6*2),IF(AND(G39=TRUE,I49=FALSE),SUM($H$49,УПР_300ФГ1*2,КОФ_300*2),SUM($H$49,УПР_300ФГ1*2))))</f>
        <v>471800</v>
      </c>
      <c r="I66" s="771" t="s">
        <v>1132</v>
      </c>
      <c r="J66" s="767" t="s">
        <v>1125</v>
      </c>
      <c r="K66" s="723">
        <f>IF(I49=TRUE,КОФ_300*1.6,КОФ_300)</f>
        <v>21000</v>
      </c>
      <c r="L66" s="760">
        <f>ящ_300</f>
        <v>2800</v>
      </c>
      <c r="M66" s="750"/>
      <c r="N66" s="67"/>
      <c r="O66" s="10"/>
      <c r="P66" s="10"/>
      <c r="Q66" s="10"/>
    </row>
    <row r="67" spans="1:18" ht="15" customHeight="1" x14ac:dyDescent="0.2">
      <c r="A67" s="1"/>
      <c r="B67" s="288"/>
      <c r="C67" s="306" t="s">
        <v>1321</v>
      </c>
      <c r="D67" s="507" t="s">
        <v>986</v>
      </c>
      <c r="E67" s="309" t="s">
        <v>1321</v>
      </c>
      <c r="F67" s="308" t="s">
        <v>986</v>
      </c>
      <c r="G67" s="307" t="s">
        <v>1321</v>
      </c>
      <c r="H67" s="507" t="s">
        <v>986</v>
      </c>
      <c r="I67" s="311" t="s">
        <v>44</v>
      </c>
      <c r="J67" s="310" t="s">
        <v>837</v>
      </c>
      <c r="K67" s="1517"/>
      <c r="L67" s="773"/>
      <c r="M67" s="750"/>
      <c r="N67" s="67"/>
      <c r="O67" s="10"/>
      <c r="P67" s="10"/>
      <c r="Q67" s="10"/>
    </row>
    <row r="68" spans="1:18" ht="15" customHeight="1" x14ac:dyDescent="0.2">
      <c r="A68" s="1"/>
      <c r="B68" s="289">
        <v>125</v>
      </c>
      <c r="C68" s="786"/>
      <c r="D68" s="687"/>
      <c r="E68" s="786">
        <f>IF(E39=TRUE,"бесфланцевый!",IF(AND(E39=FALSE,I49=TRUE),SUM($F$49,УПР_150БФСТ2*1.6),SUM($F$49,УПР_150БФСТ2)))</f>
        <v>105000</v>
      </c>
      <c r="F68" s="687">
        <f>IF(AND(E39=TRUE,I49=TRUE),SUM($F$49,УПР_150ФСТ2*1.6,КОФ_150*1.6),IF(AND(E39=FALSE,I49=TRUE),SUM($F$49,УПР_150ФСТ2*1.6),IF(AND(E39=TRUE,I49=FALSE),SUM($F$49,УПР_150ФСТ2,КОФ_150),SUM($F$49,УПР_150ФСТ2))))</f>
        <v>125720</v>
      </c>
      <c r="G68" s="786"/>
      <c r="H68" s="687"/>
      <c r="I68" s="1132" t="s">
        <v>1131</v>
      </c>
      <c r="J68" s="772" t="s">
        <v>454</v>
      </c>
      <c r="K68" s="1518">
        <f>IF(I49=TRUE,КОФ_150*1.6,КОФ_150)</f>
        <v>7000</v>
      </c>
      <c r="L68" s="760">
        <f>ящ_150</f>
        <v>2100</v>
      </c>
      <c r="M68" s="750"/>
      <c r="N68" s="67"/>
      <c r="O68" s="10"/>
      <c r="P68" s="10"/>
      <c r="Q68" s="10"/>
    </row>
    <row r="69" spans="1:18" ht="15" customHeight="1" x14ac:dyDescent="0.2">
      <c r="A69" s="1"/>
      <c r="B69" s="289">
        <v>125</v>
      </c>
      <c r="C69" s="791">
        <f ca="1">IF(C39=TRUE,"бесфланцевый!",IF(AND(C39=FALSE,I49=TRUE),SUM($D$49,УПР_150БФСТ1*1.6),SUM($D$49,УПР_150БФСТ1)))</f>
        <v>69300</v>
      </c>
      <c r="D69" s="1494">
        <f ca="1">IF(AND(C39=TRUE,I49=TRUE),SUM($D$49,УПР_150ФСТ1*1.6,КОФ_150*1.6),IF(AND(C39=FALSE,I49=TRUE),SUM($D$49,УПР_150ФСТ1*1.6),IF(AND(C39=TRUE,I49=FALSE),SUM($D$49,УПР_150ФСТ1,КОФ_150),SUM($D$49,УПР_150ФСТ1))))</f>
        <v>81200</v>
      </c>
      <c r="E69" s="791"/>
      <c r="F69" s="1494"/>
      <c r="G69" s="787">
        <f>IF(G39=TRUE,"бесфланцевый!",IF(AND(G39=FALSE,I49=TRUE),SUM($H$49,УПР_150БФСТ1*1.6*2),SUM($H$49,УПР_150БФСТ1*2)))</f>
        <v>105000</v>
      </c>
      <c r="H69" s="1494">
        <f>IF(AND(G38=TRUE,I48=TRUE),SUM($H$49,УПР_150ФСТ1*1.6*2,КОФ_150*1.6*2),IF(AND(G38=FALSE,I48=TRUE),SUM($H$49,УПР_150ФСТ1*1.6*2),IF(AND(G38=TRUE,I48=FALSE),SUM($H$49,УПР_150ФСТ1*2,КОФ_150*2),SUM($H$49,УПР_150ФСТ1*2))))</f>
        <v>128800</v>
      </c>
      <c r="I69" s="769" t="s">
        <v>1132</v>
      </c>
      <c r="J69" s="765" t="s">
        <v>454</v>
      </c>
      <c r="K69" s="1518">
        <f>IF(I49=TRUE,КОФ_150*1.6,КОФ_150)</f>
        <v>7000</v>
      </c>
      <c r="L69" s="760">
        <f>ящ_150</f>
        <v>2100</v>
      </c>
      <c r="M69" s="750"/>
      <c r="N69" s="67"/>
      <c r="O69" s="10"/>
      <c r="P69" s="10"/>
      <c r="Q69" s="10"/>
    </row>
    <row r="70" spans="1:18" ht="15" customHeight="1" x14ac:dyDescent="0.2">
      <c r="A70" s="1"/>
      <c r="B70" s="289">
        <v>150</v>
      </c>
      <c r="C70" s="791">
        <f ca="1">IF(C39=TRUE,"бесфланцевый!",IF(AND(C39=FALSE,I49=TRUE),SUM($D$49,УПР_150БФСТ1*1.6),SUM($D$49,УПР_150БФСТ1)))</f>
        <v>69300</v>
      </c>
      <c r="D70" s="1494">
        <f ca="1">IF(AND(C39=TRUE,I49=TRUE),SUM($D$49,УПР_150ФСТ1*1.6,КОФ_150*1.6),IF(AND(C39=FALSE,I49=TRUE),SUM($D$49,УПР_150ФСТ1*1.6),IF(AND(C39=TRUE,I49=FALSE),SUM($D$49,УПР_150ФСТ1,КОФ_150),SUM($D$49,УПР_150ФСТ1))))</f>
        <v>81200</v>
      </c>
      <c r="E70" s="791">
        <f>IF(E39=TRUE,"бесфланцевый!",IF(AND(E39=FALSE,I49=TRUE),SUM($F$49,УПР_150БФСТ2*1.6),SUM($F$49,УПР_150БФСТ2)))</f>
        <v>105000</v>
      </c>
      <c r="F70" s="1494">
        <f>IF(AND(E39=TRUE,I49=TRUE),SUM($F$49,УПР_150ФСТ2*1.6,КОФ_150*1.6),IF(AND(E39=FALSE,I49=TRUE),SUM($F$49,УПР_150ФСТ2*1.6),IF(AND(E39=TRUE,I49=FALSE),SUM($F$49,УПР_150ФСТ2,КОФ_150),SUM($F$49,УПР_150ФСТ2))))</f>
        <v>125720</v>
      </c>
      <c r="G70" s="787">
        <f>IF(G39=TRUE,"бесфланцевый!",IF(AND(G39=FALSE,I49=TRUE),SUM($H$49,УПР_150БФСТ1*1.6*2),SUM($H$49,УПР_150БФСТ1*2)))</f>
        <v>105000</v>
      </c>
      <c r="H70" s="1494">
        <f>IF(AND(G39=TRUE,I49=TRUE),SUM($H$49,УПР_150ФСТ1*1.6*2,КОФ_150*1.6*2),IF(AND(G39=FALSE,I49=TRUE),SUM($H$49,УПР_150ФСТ1*1.6*2),IF(AND(G39=TRUE,I49=FALSE),SUM($H$49,УПР_150ФСТ1*2,КОФ_150*2),SUM($H$49,УПР_150ФСТ1*2))))</f>
        <v>128800</v>
      </c>
      <c r="I70" s="769" t="s">
        <v>1132</v>
      </c>
      <c r="J70" s="765" t="s">
        <v>454</v>
      </c>
      <c r="K70" s="1518">
        <f>IF(I49=TRUE,КОФ_150*1.6,КОФ_150)</f>
        <v>7000</v>
      </c>
      <c r="L70" s="760">
        <f>ящ_150</f>
        <v>2100</v>
      </c>
      <c r="M70" s="750"/>
      <c r="N70" s="67"/>
      <c r="O70" s="10"/>
      <c r="P70" s="10"/>
      <c r="Q70" s="10"/>
    </row>
    <row r="71" spans="1:18" ht="15" customHeight="1" x14ac:dyDescent="0.2">
      <c r="A71" s="1"/>
      <c r="B71" s="288">
        <v>200</v>
      </c>
      <c r="C71" s="791">
        <f ca="1">IF(C39=TRUE,"бесфланцевый!",IF(AND(C39=FALSE,I49=TRUE),SUM($D$49,УПР_200БФСТ1*1.6),SUM($D$49,УПР_200БФСТ1)))</f>
        <v>74200</v>
      </c>
      <c r="D71" s="1494">
        <f ca="1">IF(AND(C39=TRUE,I49=TRUE),SUM($D$49,УПР_200ФСТ1*1.6,КОФ_200*1.6),IF(AND(C39=FALSE,I49=TRUE),SUM($D$49,УПР_200ФСТ1*1.6),IF(AND(C39=TRUE,I49=FALSE),SUM($D$49,УПР_200ФСТ1,КОФ_200),SUM($D$49,УПР_200ФСТ1))))</f>
        <v>84700</v>
      </c>
      <c r="E71" s="779">
        <f>IF(E39=TRUE,"бесфланцевый!",IF(AND(E39=FALSE,I49=TRUE),SUM($F$49,УПР_200БФСТ2*1.6),SUM($F$49,УПР_200БФСТ2)))</f>
        <v>113820</v>
      </c>
      <c r="F71" s="1494">
        <f>IF(AND(E39=TRUE,I49=TRUE),SUM($F$49,УПР_200ФСТ2*1.6,КОФ_200*1.6),IF(AND(E39=FALSE,I49=TRUE),SUM($F$49,УПР_200ФСТ2*1.6),IF(AND(E39=TRUE,I49=FALSE),SUM($F$49,УПР_200ФСТ2,КОФ_200),SUM($F$49,УПР_200ФСТ2))))</f>
        <v>131600</v>
      </c>
      <c r="G71" s="791">
        <f>IF(G39=TRUE,"бесфланцевый!",IF(AND(G39=FALSE,I49=TRUE),SUM($H$49,УПР_200БФСТ1*1.6*2),SUM($H$49,УПР_200БФСТ1*2)))</f>
        <v>114800</v>
      </c>
      <c r="H71" s="1494">
        <f>IF(AND(G39=TRUE,I49=TRUE),SUM($H$49,УПР_200ФСТ1*1.6*2,КОФ_200*1.6*2),IF(AND(G39=FALSE,I49=TRUE),SUM($H$49,УПР_200ФСТ1*1.6*2),IF(AND(G39=TRUE,I49=FALSE),SUM($H$49,УПР_200ФСТ1*2,КОФ_200*2),SUM($H$49,УПР_200ФСТ1*2))))</f>
        <v>135800</v>
      </c>
      <c r="I71" s="769" t="s">
        <v>1132</v>
      </c>
      <c r="J71" s="765" t="s">
        <v>454</v>
      </c>
      <c r="K71" s="1518">
        <f>IF(I49=TRUE,КОФ_200*1.6,КОФ_200)</f>
        <v>12320</v>
      </c>
      <c r="L71" s="760">
        <f>ящ_200</f>
        <v>2100</v>
      </c>
      <c r="M71" s="750"/>
      <c r="N71" s="67"/>
      <c r="O71" s="10"/>
      <c r="P71" s="10"/>
      <c r="Q71" s="10"/>
    </row>
    <row r="72" spans="1:18" ht="15" customHeight="1" x14ac:dyDescent="0.2">
      <c r="A72" s="1"/>
      <c r="B72" s="289">
        <v>250</v>
      </c>
      <c r="C72" s="779">
        <f ca="1">IF(C39=TRUE,"бесфланцевый!",IF(AND(C39=FALSE,I49=TRUE),SUM($D$49,УПР_250БФСТ1*1.6),SUM($D$49,УПР_250БФСТ1)))</f>
        <v>104020</v>
      </c>
      <c r="D72" s="1493">
        <f ca="1">IF(AND(C39=TRUE,I49=TRUE),SUM($D$49,УПР_250ФСТ1*1.6,КОФ_250*1.6),IF(AND(C39=FALSE,I49=TRUE),SUM($D$49,УПР_250ФСТ1*1.6),IF(AND(C39=TRUE,I49=FALSE),SUM($D$49,УПР_250ФСТ1,КОФ_250),SUM($D$49,УПР_250ФСТ1))))</f>
        <v>112700</v>
      </c>
      <c r="E72" s="787">
        <f>IF(E39=TRUE,"бесфланцевый!",IF(AND(E39=FALSE,I49=TRUE),SUM($F$49,УПР_250БФСТ2*1.6),SUM($F$49,УПР_250БФСТ2)))</f>
        <v>151200</v>
      </c>
      <c r="F72" s="1494">
        <f>IF(AND(E39=TRUE,I49=TRUE),SUM($F$49,УПР_250ФСТ2*1.6,КОФ_250*1.6),IF(AND(E39=FALSE,I49=TRUE),SUM($F$49,УПР_250ФСТ2*1.6),IF(AND(E39=TRUE,I49=FALSE),SUM($F$49,УПР_250ФСТ2,КОФ_250),SUM($F$49,УПР_250ФСТ2))))</f>
        <v>179200</v>
      </c>
      <c r="G72" s="787">
        <f>IF(G39=TRUE,"бесфланцевый!",IF(AND(G39=FALSE,I49=TRUE),SUM($H$49,УПР_250БФСТ1*1.6*2),SUM($H$49,УПР_250БФСТ1*2)))</f>
        <v>174440</v>
      </c>
      <c r="H72" s="1494">
        <f>IF(AND(G39=TRUE,I49=TRUE),SUM($H$49,УПР_250ФСТ1*1.6*2,КОФ_250*1.6*2),IF(AND(G39=FALSE,I49=TRUE),SUM($H$49,УПР_250ФСТ1*1.6*2),IF(AND(G39=TRUE,I49=FALSE),SUM($H$49,УПР_250ФСТ1*2,КОФ_250*2),SUM($H$49,УПР_250ФСТ1*2))))</f>
        <v>191800</v>
      </c>
      <c r="I72" s="770" t="s">
        <v>1132</v>
      </c>
      <c r="J72" s="765" t="s">
        <v>454</v>
      </c>
      <c r="K72" s="1518">
        <f>IF(I49=TRUE,КОФ_250*1.6,КОФ_250)</f>
        <v>17500</v>
      </c>
      <c r="L72" s="760">
        <f>ящ_250</f>
        <v>2800</v>
      </c>
      <c r="M72" s="750"/>
      <c r="N72" s="67"/>
      <c r="O72" s="10"/>
      <c r="P72" s="10"/>
      <c r="Q72" s="10"/>
    </row>
    <row r="73" spans="1:18" ht="15" customHeight="1" x14ac:dyDescent="0.2">
      <c r="A73" s="1"/>
      <c r="B73" s="290">
        <v>300</v>
      </c>
      <c r="C73" s="787">
        <f ca="1">IF(C39=TRUE,"бесфланцевый!",IF(AND(C39=FALSE,I49=TRUE),SUM($D$49,УПР_300БФСТ1*1.6),SUM($D$49,УПР_300БФСТ1)))</f>
        <v>109200</v>
      </c>
      <c r="D73" s="688">
        <f ca="1">IF(AND(C39=TRUE,I49=TRUE),SUM($D$49,УПР_300ФСТ1*1.6,КОФ_300*1.6),IF(AND(C39=FALSE,I49=TRUE),SUM($D$49,УПР_300ФСТ1*1.6),IF(AND(C39=TRUE,I49=FALSE),SUM($D$49,УПР_300ФСТ1,КОФ_300),SUM($D$49,УПР_300ФСТ1))))</f>
        <v>121520</v>
      </c>
      <c r="E73" s="791">
        <f>IF(E39=TRUE,"бесфланцевый!",IF(AND(E39=FALSE,I49=TRUE),SUM($F$49,УПР_300БФСТ2*1.6),SUM($F$49,УПР_300БФСТ2)))</f>
        <v>161000</v>
      </c>
      <c r="F73" s="1494">
        <f>IF(AND(E39=TRUE,I49=TRUE),SUM($F$49,УПР_300ФСТ2*1.6,КОФ_300*1.6),IF(AND(E39=FALSE,I49=TRUE),SUM($F$49,УПР_300ФСТ2*1.6),IF(AND(E39=TRUE,I49=FALSE),SUM($F$49,УПР_300ФСТ2,КОФ_300),SUM($F$49,УПР_300ФСТ2))))</f>
        <v>193200</v>
      </c>
      <c r="G73" s="791">
        <f>IF(G39=TRUE,"бесфланцевый!",IF(AND(G39=FALSE,I49=TRUE),SUM($H$49,УПР_300БФСТ1*1.6*2),SUM($H$49,УПР_300БФСТ1*2)))</f>
        <v>184800</v>
      </c>
      <c r="H73" s="688">
        <f>IF(AND(G39=TRUE,I49=TRUE),SUM($H$49,УПР_300ФСТ1*1.6*2,КОФ_300*1.6*2),IF(AND(G39=FALSE,I49=TRUE),SUM($H$49,УПР_300ФСТ1*1.6*2),IF(AND(G39=TRUE,I49=FALSE),SUM($H$49,УПР_300ФСТ1*2,КОФ_300*2),SUM($H$49,УПР_300ФСТ1*2))))</f>
        <v>209440</v>
      </c>
      <c r="I73" s="769" t="s">
        <v>1132</v>
      </c>
      <c r="J73" s="765" t="s">
        <v>454</v>
      </c>
      <c r="K73" s="1518">
        <f>IF(I49=TRUE,КОФ_300*1.6,КОФ_300)</f>
        <v>21000</v>
      </c>
      <c r="L73" s="760">
        <f>ящ_300</f>
        <v>2800</v>
      </c>
      <c r="M73" s="284"/>
      <c r="N73" s="67"/>
      <c r="O73" s="10"/>
      <c r="P73" s="10"/>
      <c r="Q73" s="10"/>
    </row>
    <row r="74" spans="1:18" ht="15" customHeight="1" x14ac:dyDescent="0.2">
      <c r="A74" s="1"/>
      <c r="B74" s="290">
        <v>350</v>
      </c>
      <c r="C74" s="787">
        <f ca="1">IF(C39=TRUE,"бесфланцевый!",IF(AND(C39=FALSE,I49=TRUE),SUM($D$49,УПР_350БФСТ1*1.6),SUM($D$49,УПР_350БФСТ1)))</f>
        <v>116200</v>
      </c>
      <c r="D74" s="1494">
        <f ca="1">IF(AND(C39=TRUE,I49=TRUE),SUM($D$49,УПР_350ФСТ1*1.6,КОФ_350*1.6),IF(AND(C39=FALSE,I49=TRUE),SUM($D$49,УПР_350ФСТ1*1.6),IF(AND(C39=TRUE,I49=FALSE),SUM($D$49,УПР_350ФСТ1,КОФ_350),SUM($D$49,УПР_350ФСТ1))))</f>
        <v>139020</v>
      </c>
      <c r="E74" s="779">
        <f>IF(E39=TRUE,"бесфланцевый!",IF(AND(E39=FALSE,I49=TRUE),SUM($F$49,УПР_350БФСТ2*1.6),SUM($F$49,УПР_350БФСТ2)))</f>
        <v>172200</v>
      </c>
      <c r="F74" s="1494">
        <f>IF(AND(E39=TRUE,I49=TRUE),SUM($F$49,УПР_350ФСТ2*1.6,КОФ_350*1.6),IF(AND(E39=FALSE,I49=TRUE),SUM($F$49,УПР_350ФСТ2*1.6),IF(AND(E39=TRUE,I49=FALSE),SUM($F$49,УПР_350ФСТ2,КОФ_350),SUM($F$49,УПР_350ФСТ2))))</f>
        <v>228200</v>
      </c>
      <c r="G74" s="791">
        <f>IF(G39=TRUE,"бесфланцевый!",IF(AND(G39=FALSE,I49=TRUE),SUM($H$49,УПР_350БФСТ1*1.6*2),SUM($H$49,УПР_350БФСТ1*2)))</f>
        <v>198800</v>
      </c>
      <c r="H74" s="1494">
        <f>IF(AND(G39=TRUE,I49=TRUE),SUM($H$49,УПР_350ФСТ1*1.6*2,КОФ_350*1.6*2),IF(AND(G39=FALSE,I49=TRUE),SUM($H$49,УПР_350ФСТ1*1.6*2),IF(AND(G39=TRUE,I49=FALSE),SUM($H$49,УПР_350ФСТ1*2,КОФ_350*2),SUM($H$49,УПР_350ФСТ1*2))))</f>
        <v>244440</v>
      </c>
      <c r="I74" s="769" t="s">
        <v>1132</v>
      </c>
      <c r="J74" s="765" t="s">
        <v>454</v>
      </c>
      <c r="K74" s="1518">
        <f>IF(I49=TRUE,КОФ_350*1.6,КОФ_350)</f>
        <v>26320</v>
      </c>
      <c r="L74" s="760">
        <f>ящ_350</f>
        <v>2800</v>
      </c>
      <c r="M74" s="284"/>
      <c r="N74" s="67"/>
      <c r="O74" s="10"/>
      <c r="P74" s="10"/>
      <c r="Q74" s="10"/>
    </row>
    <row r="75" spans="1:18" ht="15" customHeight="1" x14ac:dyDescent="0.2">
      <c r="A75" s="1"/>
      <c r="B75" s="290">
        <v>400</v>
      </c>
      <c r="C75" s="787">
        <f ca="1">IF(C39=TRUE,"бесфланцевый!",IF(AND(C39=FALSE,I49=TRUE),SUM($D$49,УПР_400БФСТ1*1.6),SUM($D$49,УПР_400БФСТ1)))</f>
        <v>121520</v>
      </c>
      <c r="D75" s="1494">
        <f ca="1">IF(AND(C39=TRUE,I49=TRUE),SUM($D$49,УПР_400ФСТ1*1.6,КОФ_400*1.6),IF(AND(C39=FALSE,I49=TRUE),SUM($D$49,УПР_400ФСТ1*1.6),IF(AND(C39=TRUE,I49=FALSE),SUM($D$49,УПР_400ФСТ1,КОФ_400),SUM($D$49,УПР_400ФСТ1))))</f>
        <v>165200</v>
      </c>
      <c r="E75" s="787">
        <f>IF(E39=TRUE,"бесфланцевый!",IF(AND(E39=FALSE,I49=TRUE),SUM($F$49,УПР_400БФСТ2*1.6),SUM($F$49,УПР_400БФСТ2)))</f>
        <v>186200</v>
      </c>
      <c r="F75" s="1493">
        <f>IF(AND(E39=TRUE,I49=TRUE),SUM($F$49,УПР_400ФСТ2*1.6,КОФ_400*1.6),IF(AND(E39=FALSE,I49=TRUE),SUM($F$49,УПР_400ФСТ2*1.6),IF(AND(E39=TRUE,I49=FALSE),SUM($F$49,УПР_400ФСТ2,КОФ_400),SUM($F$49,УПР_400ФСТ2))))</f>
        <v>242200</v>
      </c>
      <c r="G75" s="779">
        <f>IF(G39=TRUE,"бесфланцевый!",IF(AND(G39=FALSE,I49=TRUE),SUM($H$49,УПР_400БФСТ1*1.6*2),SUM($H$49,УПР_400БФСТ1*2)))</f>
        <v>209440</v>
      </c>
      <c r="H75" s="1494">
        <f>IF(AND(G39=TRUE,I49=TRUE),SUM($H$49,УПР_400ФСТ1*1.6*2,КОФ_400*1.6*2),IF(AND(G39=FALSE,I49=TRUE),SUM($H$49,УПР_400ФСТ1*1.6*2),IF(AND(G39=TRUE,I49=FALSE),SUM($H$49,УПР_400ФСТ1*2,КОФ_400*2),SUM($H$49,УПР_400ФСТ1*2))))</f>
        <v>296800</v>
      </c>
      <c r="I75" s="769" t="s">
        <v>1132</v>
      </c>
      <c r="J75" s="763" t="s">
        <v>454</v>
      </c>
      <c r="K75" s="1518">
        <f>IF(I49=TRUE,КОФ_400*1.6,КОФ_400)</f>
        <v>31500</v>
      </c>
      <c r="L75" s="760">
        <f>ящ_400</f>
        <v>4200</v>
      </c>
      <c r="M75" s="284"/>
      <c r="N75" s="67"/>
      <c r="O75" s="10"/>
      <c r="P75" s="10"/>
      <c r="Q75" s="10"/>
    </row>
    <row r="76" spans="1:18" ht="15" customHeight="1" x14ac:dyDescent="0.2">
      <c r="A76" s="1"/>
      <c r="B76" s="291">
        <v>500</v>
      </c>
      <c r="C76" s="791">
        <f ca="1">IF(C39=TRUE,"бесфланцевый!",IF(AND(C39=FALSE,I49=TRUE),SUM($D$49,УПР_500БФСТ1*1.6),SUM($D$49,УПР_500БФСТ1)))</f>
        <v>165200</v>
      </c>
      <c r="D76" s="1494">
        <f ca="1">IF(AND(C39=TRUE,I49=TRUE),SUM($D$49,УПР_500ФСТ1*1.6,КОФ_500*1.6),IF(AND(C39=FALSE,I49=TRUE),SUM($D$49,УПР_500ФСТ1*1.6),IF(AND(C39=TRUE,I49=FALSE),SUM($D$49,УПР_500ФСТ1,КОФ_500),SUM($D$49,УПР_500ФСТ1))))</f>
        <v>217700</v>
      </c>
      <c r="E76" s="791">
        <f>IF(E39=TRUE,"бесфланцевый!",IF(AND(E39=FALSE,I49=TRUE),SUM($F$49,УПР_500БФСТ2*1.6),SUM($F$49,УПР_500БФСТ2)))</f>
        <v>249200</v>
      </c>
      <c r="F76" s="688">
        <f>IF(AND(E39=TRUE,I49=TRUE),SUM($F$49,УПР_500ФСТ2*1.6,КОФ_500*1.6),IF(AND(E39=FALSE,I49=TRUE),SUM($F$49,УПР_500ФСТ2*1.6),IF(AND(E39=TRUE,I49=FALSE),SUM($F$49,УПР_500ФСТ2,КОФ_500),SUM($F$49,УПР_500ФСТ2))))</f>
        <v>340200</v>
      </c>
      <c r="G76" s="791">
        <f>IF(G39=TRUE,"бесфланцевый!",IF(AND(G39=FALSE,I49=TRUE),SUM($H$49,УПР_500БФСТ1*1.6*2),SUM($H$49,УПР_500БФСТ1*2)))</f>
        <v>296800</v>
      </c>
      <c r="H76" s="1494">
        <f>IF(AND(G39=TRUE,I49=TRUE),SUM($H$49,УПР_500ФСТ1*1.6*2,КОФ_500*1.6*2),IF(AND(G39=FALSE,I49=TRUE),SUM($H$49,УПР_500ФСТ1*1.6*2),IF(AND(G39=TRUE,I49=FALSE),SUM($H$49,УПР_500ФСТ1*2,КОФ_500*2),SUM($H$49,УПР_500ФСТ1*2))))</f>
        <v>401800</v>
      </c>
      <c r="I76" s="769" t="s">
        <v>1132</v>
      </c>
      <c r="J76" s="763" t="s">
        <v>454</v>
      </c>
      <c r="K76" s="1518">
        <f>IF(I49=TRUE,КОФ_500*1.6,КОФ_500)</f>
        <v>43820</v>
      </c>
      <c r="L76" s="760">
        <f>ящ_500</f>
        <v>4200</v>
      </c>
      <c r="M76" s="284"/>
      <c r="N76" s="67"/>
      <c r="O76" s="10"/>
      <c r="P76" s="10"/>
      <c r="Q76" s="10"/>
      <c r="R76" s="10"/>
    </row>
    <row r="77" spans="1:18" ht="15" customHeight="1" x14ac:dyDescent="0.2">
      <c r="A77" s="1"/>
      <c r="B77" s="290">
        <v>600</v>
      </c>
      <c r="C77" s="791">
        <f ca="1">IF(C39=TRUE,"бесфланцевый!",IF(AND(C39=FALSE,I49=TRUE),SUM($D$49,УПР_600БФСТ1*1.6),SUM($D$49,УПР_600БФСТ1)))</f>
        <v>200200</v>
      </c>
      <c r="D77" s="1494">
        <f ca="1">IF(AND(C39=TRUE,I49=TRUE),SUM($D$49,УПР_600ФСТ1*1.6,КОФ_600*1.6),IF(AND(C39=FALSE,I49=TRUE),SUM($D$49,УПР_600ФСТ1*1.6),IF(AND(C39=TRUE,I49=FALSE),SUM($D$49,УПР_600ФСТ1,КОФ_600),SUM($D$49,УПР_600ФСТ1))))</f>
        <v>287700</v>
      </c>
      <c r="E77" s="791">
        <f>IF(E39=TRUE,"бесфланцевый!",IF(AND(E39=FALSE,I49=TRUE),SUM($F$49,УПР_600БФСТ2*1.6),SUM($F$49,УПР_600БФСТ2)))</f>
        <v>326200</v>
      </c>
      <c r="F77" s="1494">
        <f>IF(AND(E39=TRUE,I49=TRUE),SUM($F$49,УПР_600ФСТ2*1.6,КОФ_600*1.6),IF(AND(E39=FALSE,I49=TRUE),SUM($F$49,УПР_600ФСТ2*1.6),IF(AND(E39=TRUE,I49=FALSE),SUM($F$49,УПР_600ФСТ2,КОФ_600),SUM($F$49,УПР_600ФСТ2))))</f>
        <v>410200</v>
      </c>
      <c r="G77" s="779">
        <f>IF(G39=TRUE,"бесфланцевый!",IF(AND(G39=FALSE,I49=TRUE),SUM($H$49,УПР_600БФСТ1*1.6*2),SUM($H$49,УПР_600БФСТ1*2)))</f>
        <v>366800</v>
      </c>
      <c r="H77" s="1494">
        <f>IF(AND(G39=TRUE,I49=TRUE),SUM($H$49,УПР_600ФСТ1*1.6*2,КОФ_600*1.6*2),IF(AND(G39=FALSE,I49=TRUE),SUM($H$49,УПР_600ФСТ1*1.6*2),IF(AND(G39=TRUE,I49=FALSE),SUM($H$49,УПР_600ФСТ1*2,КОФ_600*2),SUM($H$49,УПР_600ФСТ1*2))))</f>
        <v>541800</v>
      </c>
      <c r="I77" s="769" t="s">
        <v>1132</v>
      </c>
      <c r="J77" s="764" t="s">
        <v>454</v>
      </c>
      <c r="K77" s="1518">
        <f>IF(I49=TRUE,КОФ_600*1.6,КОФ_600)</f>
        <v>70000</v>
      </c>
      <c r="L77" s="760">
        <f>ящ_600</f>
        <v>4200</v>
      </c>
      <c r="M77" s="750"/>
      <c r="N77" s="67"/>
      <c r="O77" s="10"/>
      <c r="P77" s="10"/>
      <c r="Q77" s="10"/>
      <c r="R77" s="10"/>
    </row>
    <row r="78" spans="1:18" ht="15" customHeight="1" x14ac:dyDescent="0.2">
      <c r="A78" s="1"/>
      <c r="B78" s="290">
        <v>700</v>
      </c>
      <c r="C78" s="779">
        <f ca="1">IF(C39=TRUE,"бесфланцевый!",IF(AND(C39=FALSE,I49=TRUE),SUM($D$49,УПР_700БФСТ1*1.6),SUM($D$49,УПР_700БФСТ1)))</f>
        <v>217700</v>
      </c>
      <c r="D78" s="688">
        <f ca="1">IF(AND(C39=TRUE,I49=TRUE),SUM($D$49,УПР_700ФСТ1*1.6,КОФ_700*1.6),IF(AND(C39=FALSE,I49=TRUE),SUM($D$49,УПР_700ФСТ1*1.6),IF(AND(C39=TRUE,I49=FALSE),SUM($D$49,УПР_700ФСТ1,КОФ_700),SUM($D$49,УПР_700ФСТ1))))</f>
        <v>322700</v>
      </c>
      <c r="E78" s="779">
        <f>IF(E39=TRUE,"бесфланцевый!",IF(AND(E39=FALSE,I49=TRUE),SUM($F$49,УПР_700БФСТ2*1.6),SUM($F$49,УПР_700БФСТ2)))</f>
        <v>371000</v>
      </c>
      <c r="F78" s="1494">
        <f>IF(AND(E39=TRUE,I49=TRUE),SUM($F$49,УПР_700ФСТ2*1.6,КОФ_700*1.6),IF(AND(E39=FALSE,I49=TRUE),SUM($F$49,УПР_700ФСТ2*1.6),IF(AND(E39=TRUE,I49=FALSE),SUM($F$49,УПР_700ФСТ2,КОФ_700),SUM($F$49,УПР_700ФСТ2))))</f>
        <v>480200</v>
      </c>
      <c r="G78" s="791">
        <f>IF(G39=TRUE,"бесфланцевый!",IF(AND(G39=FALSE,I49=TRUE),SUM($H$49,УПР_700БФСТ1*1.6*2),SUM($H$49,УПР_700БФСТ1*2)))</f>
        <v>401800</v>
      </c>
      <c r="H78" s="1494">
        <f>IF(AND(G39=TRUE,I49=TRUE),SUM($H$49,УПР_700ФСТ1*1.6*2,КОФ_700*1.6*2),IF(AND(G39=FALSE,I49=TRUE),SUM($H$49,УПР_700ФСТ1*1.6*2),IF(AND(G39=TRUE,I49=FALSE),SUM($H$49,УПР_700ФСТ1*2,КОФ_700*2),SUM($H$49,УПР_700ФСТ1*2))))</f>
        <v>611800</v>
      </c>
      <c r="I78" s="769" t="s">
        <v>1132</v>
      </c>
      <c r="J78" s="765" t="s">
        <v>454</v>
      </c>
      <c r="K78" s="1518">
        <f>IF(I49=TRUE,КОФ_700*1.6,КОФ_700)</f>
        <v>87500</v>
      </c>
      <c r="L78" s="760">
        <f>ящ_700</f>
        <v>5600</v>
      </c>
      <c r="M78" s="750"/>
      <c r="N78" s="67"/>
      <c r="O78" s="10"/>
      <c r="P78" s="10"/>
      <c r="Q78" s="10"/>
      <c r="R78" s="10"/>
    </row>
    <row r="79" spans="1:18" ht="15" customHeight="1" x14ac:dyDescent="0.2">
      <c r="A79" s="1"/>
      <c r="B79" s="290">
        <v>800</v>
      </c>
      <c r="C79" s="791">
        <f ca="1">IF(C39=TRUE,"бесфланцевый!",IF(AND(C39=FALSE,I49=TRUE),SUM($D$49,УПР_800БФСТ1*1.6),SUM($D$49,УПР_800БФСТ1)))</f>
        <v>270200</v>
      </c>
      <c r="D79" s="1494">
        <f ca="1">IF(AND(C39=TRUE,I49=TRUE),SUM($D$49,УПР_800ФСТ1*1.6,КОФ_800*1.6),IF(AND(C39=FALSE,I49=TRUE),SUM($D$49,УПР_800ФСТ1*1.6),IF(AND(C39=TRUE,I49=FALSE),SUM($D$49,УПР_800ФСТ1,КОФ_800),SUM($D$49,УПР_800ФСТ1))))</f>
        <v>357700</v>
      </c>
      <c r="E79" s="791">
        <f>IF(E39=TRUE,"бесфланцевый!",IF(AND(E39=FALSE,I49=TRUE),SUM($F$49,УПР_800БФСТ2*1.6),SUM($F$49,УПР_800БФСТ2)))</f>
        <v>410200</v>
      </c>
      <c r="F79" s="1494">
        <f>IF(AND(E39=TRUE,I49=TRUE),SUM($F$49,УПР_800ФСТ2*1.6,КОФ_800*1.6),IF(AND(E39=FALSE,I49=TRUE),SUM($F$49,УПР_800ФСТ2*1.6),IF(AND(E39=TRUE,I49=FALSE),SUM($F$49,УПР_800ФСТ2,КОФ_800),SUM($F$49,УПР_800ФСТ2))))</f>
        <v>522200</v>
      </c>
      <c r="G79" s="779">
        <f>IF(G39=TRUE,"бесфланцевый!",IF(AND(G39=FALSE,I49=TRUE),SUM($H$49,УПР_800БФСТ1*1.6*2),SUM($H$49,УПР_800БФСТ1*2)))</f>
        <v>506800</v>
      </c>
      <c r="H79" s="688">
        <f>IF(AND(G39=TRUE,I49=TRUE),SUM($H$49,УПР_800ФСТ1*1.6*2,КОФ_800*1.6*2),IF(AND(G39=FALSE,I49=TRUE),SUM($H$49,УПР_800ФСТ1*1.6*2),IF(AND(G39=TRUE,I49=FALSE),SUM($H$49,УПР_800ФСТ1*2,КОФ_800*2),SUM($H$49,УПР_800ФСТ1*2))))</f>
        <v>681800</v>
      </c>
      <c r="I79" s="769" t="s">
        <v>1132</v>
      </c>
      <c r="J79" s="763" t="s">
        <v>454</v>
      </c>
      <c r="K79" s="1518">
        <f>IF(I49=TRUE,КОФ_800*1.6,КОФ_800)</f>
        <v>122500</v>
      </c>
      <c r="L79" s="760">
        <f>ящ_800</f>
        <v>5600</v>
      </c>
      <c r="M79" s="751"/>
      <c r="N79" s="67"/>
      <c r="O79" s="10"/>
      <c r="P79" s="10"/>
      <c r="Q79" s="10"/>
      <c r="R79" s="10"/>
    </row>
    <row r="80" spans="1:18" ht="15" customHeight="1" x14ac:dyDescent="0.2">
      <c r="A80" s="1"/>
      <c r="B80" s="290">
        <v>900</v>
      </c>
      <c r="C80" s="791">
        <f ca="1">IF(C39=TRUE,"бесфланцевый!",IF(AND(C39=FALSE,I49=TRUE),SUM($D$49,УПР_900БФСТ1*1.6),SUM($D$49,УПР_900БФСТ1)))</f>
        <v>357700</v>
      </c>
      <c r="D80" s="688">
        <f ca="1">IF(AND(C39=TRUE,I49=TRUE),SUM($D$49,УПР_900ФСТ1*1.6,КОФ_900*1.6),IF(AND(C39=FALSE,I49=TRUE),SUM($D$49,УПР_900ФСТ1*1.6),IF(AND(C39=TRUE,I49=FALSE),SUM($D$49,УПР_900ФСТ1,КОФ_900),SUM($D$49,УПР_900ФСТ1))))</f>
        <v>480200</v>
      </c>
      <c r="E80" s="779">
        <f>IF(E39=TRUE,"бесфланцевый!",IF(AND(E39=FALSE,I49=TRUE),SUM($F$49,УПР_900БФСТ2*1.6),SUM($F$49,УПР_900БФСТ2)))</f>
        <v>585200</v>
      </c>
      <c r="F80" s="1494">
        <f>IF(AND(E39=TRUE,I49=TRUE),SUM($F$49,УПР_900ФСТ2*1.6,КОФ_900*1.6),IF(AND(E39=FALSE,I49=TRUE),SUM($F$49,УПР_900ФСТ2*1.6),IF(AND(E39=TRUE,I49=FALSE),SUM($F$49,УПР_900ФСТ2,КОФ_900),SUM($F$49,УПР_900ФСТ2))))</f>
        <v>690200</v>
      </c>
      <c r="G80" s="787">
        <f>IF(G39=TRUE,"бесфланцевый!",IF(AND(G39=FALSE,I49=TRUE),SUM($H$49,УПР_900БФСТ1*1.6*2),SUM($H$49,УПР_900БФСТ1*2)))</f>
        <v>681800</v>
      </c>
      <c r="H80" s="1494">
        <f>IF(AND(G39=TRUE,I49=TRUE),SUM($H$49,УПР_900ФСТ1*1.6*2,КОФ_900*1.6*2),IF(AND(G39=FALSE,I49=TRUE),SUM($H$49,УПР_900ФСТ1*1.6*2),IF(AND(G39=TRUE,I49=FALSE),SUM($H$49,УПР_900ФСТ1*2,КОФ_900*2),SUM($H$49,УПР_900ФСТ1*2))))</f>
        <v>926800</v>
      </c>
      <c r="I80" s="769" t="s">
        <v>1132</v>
      </c>
      <c r="J80" s="763" t="s">
        <v>454</v>
      </c>
      <c r="K80" s="1518">
        <f>IF(I49=TRUE,КОФ_900*1.6,КОФ_900)</f>
        <v>168000</v>
      </c>
      <c r="L80" s="760">
        <f>ящ_900</f>
        <v>5600</v>
      </c>
      <c r="M80" s="751"/>
      <c r="N80" s="67"/>
      <c r="O80" s="10"/>
      <c r="P80" s="10"/>
      <c r="Q80" s="10"/>
      <c r="R80" s="10"/>
    </row>
    <row r="81" spans="1:18" ht="15" customHeight="1" x14ac:dyDescent="0.2">
      <c r="A81" s="1"/>
      <c r="B81" s="290">
        <v>1000</v>
      </c>
      <c r="C81" s="791">
        <f ca="1">IF(C39=TRUE,"бесфланцевый!",IF(AND(C39=FALSE,I49=TRUE),SUM($D$49,УПР_1000БФСТ1*1.6),SUM($D$49,УПР_1000БФСТ1)))</f>
        <v>462700</v>
      </c>
      <c r="D81" s="1494">
        <f ca="1">IF(AND(C39=TRUE,I49=TRUE),SUM($D$49,УПР_1000ФСТ1*1.6,КОФ_1000*1.6),IF(AND(C39=FALSE,I49=TRUE),SUM($D$49,УПР_1000ФСТ1*1.6),IF(AND(C39=TRUE,I49=FALSE),SUM($D$49,УПР_1000ФСТ1,КОФ_1000),SUM($D$49,УПР_1000ФСТ1))))</f>
        <v>602700</v>
      </c>
      <c r="E81" s="791">
        <f>IF(E39=TRUE,"бесфланцевый!",IF(AND(E39=FALSE,I49=TRUE),SUM($F$49,УПР_1000БФСТ2*1.6),SUM($F$49,УПР_1000БФСТ2)))</f>
        <v>648200</v>
      </c>
      <c r="F81" s="688">
        <f>IF(AND(E39=TRUE,I49=TRUE),SUM($F$49,УПР_1000ФСТ2*1.6,КОФ_1000*1.6),IF(AND(E39=FALSE,I49=TRUE),SUM($F$49,УПР_1000ФСТ2*1.6),IF(AND(E39=TRUE,I49=FALSE),SUM($F$49,УПР_1000ФСТ2,КОФ_1000),SUM($F$49,УПР_1000ФСТ2))))</f>
        <v>795200</v>
      </c>
      <c r="G81" s="787">
        <f>IF(G39=TRUE,"бесфланцевый!",IF(AND(G39=FALSE,I49=TRUE),SUM($H$49,УПР_1000БФСТ1*1.6*2),SUM($H$49,УПР_1000БФСТ1*2)))</f>
        <v>891800</v>
      </c>
      <c r="H81" s="1493">
        <f>IF(AND(G39=TRUE,I49=TRUE),SUM($H$49,УПР_1000ФСТ1*1.6*2,КОФ_1000*1.6*2),IF(AND(G39=FALSE,I49=TRUE),SUM($H$49,УПР_1000ФСТ1*1.6*2),IF(AND(G39=TRUE,I49=FALSE),SUM($H$49,УПР_1000ФСТ1*2,КОФ_1000*2),SUM($H$49,УПР_1000ФСТ1*2))))</f>
        <v>1171800</v>
      </c>
      <c r="I81" s="770" t="s">
        <v>1132</v>
      </c>
      <c r="J81" s="764" t="s">
        <v>454</v>
      </c>
      <c r="K81" s="1518">
        <f>IF(I49=TRUE,КОФ_1000*1.6,КОФ_1000)</f>
        <v>192500</v>
      </c>
      <c r="L81" s="761">
        <f>ящ_1000</f>
        <v>7000</v>
      </c>
      <c r="M81" s="750"/>
      <c r="N81" s="67"/>
      <c r="O81" s="10"/>
      <c r="P81" s="10"/>
      <c r="Q81" s="10"/>
      <c r="R81" s="10"/>
    </row>
    <row r="82" spans="1:18" ht="15" customHeight="1" x14ac:dyDescent="0.2">
      <c r="A82" s="1"/>
      <c r="B82" s="290">
        <v>1200</v>
      </c>
      <c r="C82" s="1524" t="str">
        <f>IF($C$39=TRUE,"бесфланцевый!","по запросу")</f>
        <v>по запросу</v>
      </c>
      <c r="D82" s="1527" t="str">
        <f>УПР_1200ФСТ1</f>
        <v>по запросу</v>
      </c>
      <c r="E82" s="1524" t="str">
        <f>IF($E$39=TRUE,"бесфланцевый!","по запросу")</f>
        <v>по запросу</v>
      </c>
      <c r="F82" s="1528" t="str">
        <f>УПР_1200ФСТ2</f>
        <v>по запросу</v>
      </c>
      <c r="G82" s="1524" t="str">
        <f>IF($G$39=TRUE,"бесфланцевый!","по запросу")</f>
        <v>по запросу</v>
      </c>
      <c r="H82" s="1531" t="str">
        <f>УПР_1200ФСТ1</f>
        <v>по запросу</v>
      </c>
      <c r="I82" s="769" t="s">
        <v>1132</v>
      </c>
      <c r="J82" s="765" t="s">
        <v>454</v>
      </c>
      <c r="K82" s="1533" t="str">
        <f>КОФ_1200</f>
        <v>по запросу</v>
      </c>
      <c r="L82" s="777">
        <f>ящ_1200</f>
        <v>7000</v>
      </c>
      <c r="M82" s="750"/>
      <c r="N82" s="67"/>
      <c r="O82" s="10"/>
      <c r="P82" s="10"/>
      <c r="Q82" s="10"/>
      <c r="R82" s="10"/>
    </row>
    <row r="83" spans="1:18" ht="15" customHeight="1" x14ac:dyDescent="0.2">
      <c r="A83" s="1"/>
      <c r="B83" s="291">
        <v>1400</v>
      </c>
      <c r="C83" s="1524" t="str">
        <f>IF($C$39=TRUE,"бесфланцевый!","по запросу")</f>
        <v>по запросу</v>
      </c>
      <c r="D83" s="1528" t="str">
        <f>УПР_1400ФСТ1</f>
        <v>по запросу</v>
      </c>
      <c r="E83" s="1524" t="str">
        <f>IF($E$39=TRUE,"бесфланцевый!","по запросу")</f>
        <v>по запросу</v>
      </c>
      <c r="F83" s="1530" t="str">
        <f>УПР_1400ФСТ2</f>
        <v>по запросу</v>
      </c>
      <c r="G83" s="1524" t="str">
        <f>IF($G$39=TRUE,"бесфланцевый!","по запросу")</f>
        <v>по запросу</v>
      </c>
      <c r="H83" s="1527" t="str">
        <f>УПР_1400ФСТ1</f>
        <v>по запросу</v>
      </c>
      <c r="I83" s="769" t="s">
        <v>1132</v>
      </c>
      <c r="J83" s="1500" t="s">
        <v>454</v>
      </c>
      <c r="K83" s="777" t="str">
        <f>КОФ_1400</f>
        <v>по запросу</v>
      </c>
      <c r="L83" s="777">
        <f>ящ_1400</f>
        <v>7000</v>
      </c>
      <c r="M83" s="750"/>
      <c r="N83" s="67"/>
      <c r="O83" s="10"/>
      <c r="P83" s="10"/>
      <c r="Q83" s="10"/>
      <c r="R83" s="10"/>
    </row>
    <row r="84" spans="1:18" ht="15" customHeight="1" thickBot="1" x14ac:dyDescent="0.25">
      <c r="A84" s="1"/>
      <c r="B84" s="1133">
        <v>1600</v>
      </c>
      <c r="C84" s="1525" t="str">
        <f>IF($C$39=TRUE,"бесфланцевый!","по запросу")</f>
        <v>по запросу</v>
      </c>
      <c r="D84" s="1529" t="s">
        <v>955</v>
      </c>
      <c r="E84" s="1526" t="str">
        <f>IF($E$39=TRUE,"бесфланцевый!","по запросу")</f>
        <v>по запросу</v>
      </c>
      <c r="F84" s="1528" t="s">
        <v>955</v>
      </c>
      <c r="G84" s="1524" t="str">
        <f>IF($G$39=TRUE,"бесфланцевый!","по запросу")</f>
        <v>по запросу</v>
      </c>
      <c r="H84" s="1532" t="s">
        <v>955</v>
      </c>
      <c r="I84" s="1134" t="s">
        <v>1132</v>
      </c>
      <c r="J84" s="1135" t="s">
        <v>454</v>
      </c>
      <c r="K84" s="776" t="str">
        <f>КОФ_1400</f>
        <v>по запросу</v>
      </c>
      <c r="L84" s="1502">
        <f>ящ_1400</f>
        <v>7000</v>
      </c>
      <c r="M84" s="750"/>
      <c r="N84" s="67"/>
      <c r="O84" s="10"/>
      <c r="P84" s="10"/>
      <c r="Q84" s="10"/>
      <c r="R84" s="10"/>
    </row>
    <row r="85" spans="1:18" ht="15" customHeight="1" x14ac:dyDescent="0.2">
      <c r="A85" s="1"/>
      <c r="B85" s="292"/>
      <c r="C85" s="1780" t="s">
        <v>1124</v>
      </c>
      <c r="D85" s="1781"/>
      <c r="E85" s="1782" t="s">
        <v>1124</v>
      </c>
      <c r="F85" s="1783"/>
      <c r="G85" s="1782" t="s">
        <v>1124</v>
      </c>
      <c r="H85" s="1783"/>
      <c r="I85" s="322" t="s">
        <v>44</v>
      </c>
      <c r="J85" s="323" t="s">
        <v>1306</v>
      </c>
      <c r="K85" s="803"/>
      <c r="L85" s="1136"/>
      <c r="M85" s="750"/>
      <c r="N85" s="67"/>
      <c r="O85" s="10"/>
      <c r="P85" s="10"/>
      <c r="Q85" s="10"/>
      <c r="R85" s="10"/>
    </row>
    <row r="86" spans="1:18" ht="15" customHeight="1" x14ac:dyDescent="0.2">
      <c r="A86" s="1"/>
      <c r="B86" s="292" t="s">
        <v>159</v>
      </c>
      <c r="C86" s="700">
        <f ca="1">IF($C$39=TRUE,"беструбный!",SUM($D$49*1.25,ПЭП34с,КМЧ800_1с))</f>
        <v>68250</v>
      </c>
      <c r="D86" s="701"/>
      <c r="E86" s="700">
        <f>IF($E$39=TRUE,"беструбный!",SUM($F$49*1.25,ПЭП34с*2,КМЧ800_2с*2))</f>
        <v>106750</v>
      </c>
      <c r="F86" s="702"/>
      <c r="G86" s="703">
        <f>IF($G$39=TRUE,"беструбный!",SUM($H$49*1.25,ПЭП34с*2,КМЧ800_1с*2))</f>
        <v>94500</v>
      </c>
      <c r="H86" s="702"/>
      <c r="I86" s="797" t="s">
        <v>1133</v>
      </c>
      <c r="J86" s="215" t="s">
        <v>1126</v>
      </c>
      <c r="K86" s="804"/>
      <c r="L86" s="759">
        <f>ящ_15</f>
        <v>1400</v>
      </c>
      <c r="M86" s="750"/>
      <c r="N86" s="67"/>
      <c r="O86" s="10"/>
      <c r="P86" s="10"/>
      <c r="Q86" s="10"/>
      <c r="R86" s="10"/>
    </row>
    <row r="87" spans="1:18" ht="15" customHeight="1" x14ac:dyDescent="0.2">
      <c r="A87" s="1"/>
      <c r="B87" s="292" t="s">
        <v>228</v>
      </c>
      <c r="C87" s="90" t="s">
        <v>707</v>
      </c>
      <c r="D87" s="85"/>
      <c r="E87" s="150" t="s">
        <v>707</v>
      </c>
      <c r="F87" s="136"/>
      <c r="G87" s="90" t="s">
        <v>707</v>
      </c>
      <c r="H87" s="136"/>
      <c r="I87" s="151"/>
      <c r="J87" s="203"/>
      <c r="K87" s="201"/>
      <c r="L87" s="726"/>
      <c r="M87" s="750"/>
      <c r="N87" s="67"/>
      <c r="O87" s="10"/>
      <c r="P87" s="10"/>
      <c r="Q87" s="10"/>
      <c r="R87" s="10"/>
    </row>
    <row r="88" spans="1:18" ht="11.25" customHeight="1" x14ac:dyDescent="0.2">
      <c r="A88" s="1"/>
      <c r="B88" s="452"/>
      <c r="C88" s="91" t="s">
        <v>407</v>
      </c>
      <c r="D88" s="85"/>
      <c r="E88" s="92" t="s">
        <v>408</v>
      </c>
      <c r="F88" s="137"/>
      <c r="G88" s="92" t="s">
        <v>409</v>
      </c>
      <c r="H88" s="137"/>
      <c r="I88" s="93" t="s">
        <v>1301</v>
      </c>
      <c r="J88" s="78"/>
      <c r="K88" s="202"/>
      <c r="L88" s="727"/>
      <c r="M88" s="750"/>
      <c r="N88" s="67"/>
      <c r="O88" s="10"/>
      <c r="P88" s="10"/>
      <c r="Q88" s="10"/>
      <c r="R88" s="10"/>
    </row>
    <row r="89" spans="1:18" ht="11.25" customHeight="1" x14ac:dyDescent="0.2">
      <c r="A89" s="1"/>
      <c r="B89" s="453"/>
      <c r="C89" s="91" t="s">
        <v>1119</v>
      </c>
      <c r="D89" s="85"/>
      <c r="E89" s="92" t="s">
        <v>1121</v>
      </c>
      <c r="F89" s="137"/>
      <c r="G89" s="92" t="s">
        <v>1123</v>
      </c>
      <c r="H89" s="137"/>
      <c r="I89" s="94" t="s">
        <v>1128</v>
      </c>
      <c r="J89" s="78"/>
      <c r="K89" s="195"/>
      <c r="L89" s="727"/>
      <c r="M89" s="750"/>
      <c r="N89" s="67"/>
      <c r="O89" s="10"/>
      <c r="P89" s="10"/>
      <c r="Q89" s="10"/>
      <c r="R89" s="10"/>
    </row>
    <row r="90" spans="1:18" ht="11.25" customHeight="1" x14ac:dyDescent="0.2">
      <c r="A90" s="1"/>
      <c r="B90" s="453"/>
      <c r="C90" s="91" t="s">
        <v>1120</v>
      </c>
      <c r="D90" s="85"/>
      <c r="E90" s="92" t="s">
        <v>1122</v>
      </c>
      <c r="F90" s="137"/>
      <c r="G90" s="92" t="s">
        <v>1122</v>
      </c>
      <c r="H90" s="137"/>
      <c r="I90" s="94" t="s">
        <v>453</v>
      </c>
      <c r="J90" s="78"/>
      <c r="K90" s="195"/>
      <c r="L90" s="727"/>
      <c r="M90" s="750"/>
      <c r="N90" s="67"/>
      <c r="O90" s="10"/>
      <c r="P90" s="10"/>
      <c r="Q90" s="10"/>
      <c r="R90" s="10"/>
    </row>
    <row r="91" spans="1:18" ht="11.25" customHeight="1" x14ac:dyDescent="0.2">
      <c r="A91" s="1"/>
      <c r="B91" s="453"/>
      <c r="C91" s="91" t="s">
        <v>987</v>
      </c>
      <c r="D91" s="85"/>
      <c r="E91" s="92" t="s">
        <v>987</v>
      </c>
      <c r="F91" s="137"/>
      <c r="G91" s="92" t="s">
        <v>987</v>
      </c>
      <c r="H91" s="137"/>
      <c r="I91" s="94"/>
      <c r="J91" s="78"/>
      <c r="K91" s="195"/>
      <c r="L91" s="727"/>
      <c r="M91" s="750"/>
      <c r="N91" s="67"/>
      <c r="O91" s="10"/>
      <c r="P91" s="10"/>
      <c r="Q91" s="10"/>
      <c r="R91" s="10"/>
    </row>
    <row r="92" spans="1:18" ht="11.25" customHeight="1" x14ac:dyDescent="0.2">
      <c r="A92" s="1"/>
      <c r="B92" s="453"/>
      <c r="C92" s="79"/>
      <c r="D92" s="85"/>
      <c r="E92" s="79"/>
      <c r="F92" s="85"/>
      <c r="G92" s="84"/>
      <c r="H92" s="143"/>
      <c r="I92" s="94" t="s">
        <v>704</v>
      </c>
      <c r="J92" s="78"/>
      <c r="K92" s="195"/>
      <c r="L92" s="727"/>
      <c r="M92" s="750"/>
      <c r="N92" s="67"/>
      <c r="O92" s="10"/>
      <c r="P92" s="10"/>
      <c r="Q92" s="10"/>
      <c r="R92" s="10"/>
    </row>
    <row r="93" spans="1:18" ht="11.25" customHeight="1" x14ac:dyDescent="0.2">
      <c r="A93" s="1"/>
      <c r="B93" s="453"/>
      <c r="C93" s="79"/>
      <c r="D93" s="85"/>
      <c r="E93" s="84"/>
      <c r="F93" s="85"/>
      <c r="G93" s="84"/>
      <c r="H93" s="143"/>
      <c r="I93" s="94"/>
      <c r="J93" s="78"/>
      <c r="K93" s="195"/>
      <c r="L93" s="727"/>
      <c r="M93" s="750"/>
      <c r="N93" s="67"/>
      <c r="O93" s="10"/>
      <c r="P93" s="10"/>
      <c r="Q93" s="10"/>
      <c r="R93" s="10"/>
    </row>
    <row r="94" spans="1:18" ht="11.25" customHeight="1" x14ac:dyDescent="0.2">
      <c r="A94" s="1"/>
      <c r="B94" s="453"/>
      <c r="C94" s="79"/>
      <c r="D94" s="85"/>
      <c r="E94" s="84"/>
      <c r="F94" s="85"/>
      <c r="G94" s="84"/>
      <c r="H94" s="144"/>
      <c r="I94" s="94"/>
      <c r="J94" s="204"/>
      <c r="K94" s="195"/>
      <c r="L94" s="727"/>
      <c r="M94" s="750"/>
      <c r="N94" s="67"/>
      <c r="O94" s="10"/>
      <c r="P94" s="10"/>
      <c r="Q94" s="10"/>
      <c r="R94" s="10"/>
    </row>
    <row r="95" spans="1:18" ht="11.25" customHeight="1" x14ac:dyDescent="0.2">
      <c r="A95" s="1"/>
      <c r="B95" s="333"/>
      <c r="C95" s="313"/>
      <c r="D95" s="314"/>
      <c r="E95" s="315"/>
      <c r="F95" s="314"/>
      <c r="G95" s="315"/>
      <c r="H95" s="316"/>
      <c r="I95" s="315"/>
      <c r="J95" s="317"/>
      <c r="K95" s="318"/>
      <c r="L95" s="734"/>
      <c r="M95" s="750"/>
      <c r="N95" s="67"/>
      <c r="O95" s="10"/>
      <c r="P95" s="10"/>
      <c r="Q95" s="10"/>
    </row>
    <row r="96" spans="1:18" ht="7.5" customHeight="1" x14ac:dyDescent="0.2">
      <c r="A96" s="1"/>
      <c r="B96" s="454"/>
      <c r="C96" s="320"/>
      <c r="D96" s="320"/>
      <c r="E96" s="320"/>
      <c r="F96" s="320"/>
      <c r="G96" s="320"/>
      <c r="H96" s="319"/>
      <c r="I96" s="319"/>
      <c r="J96" s="320"/>
      <c r="K96" s="321"/>
      <c r="L96" s="740"/>
      <c r="M96" s="750"/>
      <c r="N96" s="67"/>
      <c r="O96" s="10"/>
      <c r="P96" s="10"/>
      <c r="Q96" s="10"/>
    </row>
    <row r="97" spans="1:18" ht="15" customHeight="1" thickBot="1" x14ac:dyDescent="0.25">
      <c r="A97" s="1"/>
      <c r="B97" s="1140"/>
      <c r="C97" s="1268" t="s">
        <v>1045</v>
      </c>
      <c r="D97" s="1143"/>
      <c r="E97" s="1142"/>
      <c r="F97" s="1144"/>
      <c r="G97" s="1268" t="s">
        <v>1046</v>
      </c>
      <c r="H97" s="1144"/>
      <c r="I97" s="1145"/>
      <c r="J97" s="1146"/>
      <c r="K97" s="1147"/>
      <c r="L97" s="1141"/>
      <c r="M97" s="750"/>
      <c r="N97" s="67"/>
      <c r="O97" s="10"/>
      <c r="P97" s="10"/>
      <c r="Q97" s="10"/>
    </row>
    <row r="98" spans="1:18" ht="6.75" customHeight="1" thickBot="1" x14ac:dyDescent="0.25">
      <c r="A98" s="1"/>
      <c r="B98" s="455"/>
      <c r="C98" s="86"/>
      <c r="D98" s="87"/>
      <c r="E98" s="87"/>
      <c r="F98" s="88"/>
      <c r="G98" s="88"/>
      <c r="H98" s="88"/>
      <c r="I98" s="88"/>
      <c r="J98" s="88"/>
      <c r="K98" s="149"/>
      <c r="L98" s="741"/>
      <c r="M98" s="750"/>
      <c r="N98" s="67"/>
      <c r="O98" s="60"/>
      <c r="P98" s="10"/>
      <c r="Q98" s="10"/>
      <c r="R98" s="10"/>
    </row>
    <row r="99" spans="1:18" ht="6.75" customHeight="1" x14ac:dyDescent="0.2">
      <c r="A99" s="1"/>
      <c r="B99" s="598"/>
      <c r="C99" s="598"/>
      <c r="D99" s="599"/>
      <c r="E99" s="599"/>
      <c r="F99" s="600"/>
      <c r="G99" s="600"/>
      <c r="H99" s="600"/>
      <c r="I99" s="600"/>
      <c r="J99" s="600"/>
      <c r="K99" s="600"/>
      <c r="L99" s="464"/>
      <c r="M99" s="750"/>
      <c r="N99" s="67"/>
      <c r="O99" s="60"/>
      <c r="P99" s="10"/>
      <c r="Q99" s="10"/>
      <c r="R99" s="10"/>
    </row>
    <row r="100" spans="1:18" ht="6.75" customHeight="1" x14ac:dyDescent="0.2">
      <c r="A100" s="1">
        <f>IF(G37=TRUE,H35*_КСС2Э*2,H35*РК50*4)</f>
        <v>1400</v>
      </c>
      <c r="B100" s="1137"/>
      <c r="C100" s="1137"/>
      <c r="D100" s="1138"/>
      <c r="E100" s="1138"/>
      <c r="F100" s="1139"/>
      <c r="G100" s="1139"/>
      <c r="H100" s="1139"/>
      <c r="I100" s="1139"/>
      <c r="J100" s="1139"/>
      <c r="K100" s="1139"/>
      <c r="L100" s="271"/>
      <c r="M100" s="750"/>
      <c r="N100" s="67"/>
      <c r="O100" s="60"/>
      <c r="P100" s="10"/>
      <c r="Q100" s="10"/>
      <c r="R100" s="10"/>
    </row>
    <row r="101" spans="1:18" ht="33.75" customHeight="1" thickBot="1" x14ac:dyDescent="0.25">
      <c r="A101" s="1"/>
      <c r="B101" s="1609" t="s">
        <v>745</v>
      </c>
      <c r="C101" s="1610"/>
      <c r="D101" s="1610"/>
      <c r="E101" s="1610"/>
      <c r="F101" s="1610"/>
      <c r="G101" s="1611" t="s">
        <v>1046</v>
      </c>
      <c r="H101" s="1610"/>
      <c r="I101" s="1610"/>
      <c r="J101" s="1610"/>
      <c r="K101" s="1610"/>
      <c r="L101" s="14"/>
      <c r="M101" s="2"/>
      <c r="N101" s="60"/>
      <c r="O101" s="10"/>
      <c r="P101" s="10"/>
      <c r="Q101" s="10"/>
      <c r="R101" s="10"/>
    </row>
    <row r="102" spans="1:18" ht="15" customHeight="1" thickTop="1" x14ac:dyDescent="0.2">
      <c r="A102" s="1277"/>
      <c r="B102" s="1282" t="s">
        <v>535</v>
      </c>
      <c r="C102" s="1283" t="s">
        <v>8</v>
      </c>
      <c r="D102" s="1284" t="s">
        <v>9</v>
      </c>
      <c r="E102" s="1285" t="s">
        <v>10</v>
      </c>
      <c r="F102" s="1286"/>
      <c r="G102" s="1287"/>
      <c r="H102" s="1287"/>
      <c r="I102" s="1287"/>
      <c r="J102" s="1287"/>
      <c r="K102" s="1288"/>
      <c r="L102" s="14"/>
      <c r="M102" s="2"/>
      <c r="N102" s="60"/>
      <c r="O102" s="10"/>
      <c r="P102" s="10"/>
      <c r="Q102" s="10"/>
      <c r="R102" s="10"/>
    </row>
    <row r="103" spans="1:18" ht="45" customHeight="1" x14ac:dyDescent="0.2">
      <c r="A103" s="1277"/>
      <c r="B103" s="1784" t="s">
        <v>36</v>
      </c>
      <c r="C103" s="1785"/>
      <c r="D103" s="1289">
        <f>РК50</f>
        <v>35</v>
      </c>
      <c r="E103" s="1786" t="s">
        <v>1398</v>
      </c>
      <c r="F103" s="1786"/>
      <c r="G103" s="1786"/>
      <c r="H103" s="1786"/>
      <c r="I103" s="1786"/>
      <c r="J103" s="1787"/>
      <c r="K103" s="1279"/>
      <c r="L103" s="14"/>
      <c r="M103" s="2"/>
      <c r="N103" s="60"/>
      <c r="O103" s="10"/>
      <c r="P103" s="10"/>
      <c r="Q103" s="10"/>
      <c r="R103" s="10"/>
    </row>
    <row r="104" spans="1:18" ht="45" customHeight="1" x14ac:dyDescent="0.2">
      <c r="A104" s="1277"/>
      <c r="B104" s="1788" t="s">
        <v>1399</v>
      </c>
      <c r="C104" s="1789"/>
      <c r="D104" s="1290" t="str">
        <f>КСС2Э</f>
        <v>105/105</v>
      </c>
      <c r="E104" s="1786" t="s">
        <v>355</v>
      </c>
      <c r="F104" s="1790"/>
      <c r="G104" s="1790"/>
      <c r="H104" s="1790"/>
      <c r="I104" s="1790"/>
      <c r="J104" s="1790"/>
      <c r="K104" s="1281"/>
      <c r="L104" s="14"/>
      <c r="M104" s="2"/>
      <c r="N104" s="60"/>
      <c r="O104" s="10"/>
      <c r="P104" s="10"/>
      <c r="Q104" s="10"/>
      <c r="R104" s="10"/>
    </row>
    <row r="105" spans="1:18" ht="45" customHeight="1" thickBot="1" x14ac:dyDescent="0.25">
      <c r="A105" s="1277"/>
      <c r="B105" s="1774" t="s">
        <v>1400</v>
      </c>
      <c r="C105" s="1775"/>
      <c r="D105" s="1291" t="str">
        <f>КСС4Э</f>
        <v>210/210</v>
      </c>
      <c r="E105" s="1776" t="s">
        <v>356</v>
      </c>
      <c r="F105" s="1777"/>
      <c r="G105" s="1777"/>
      <c r="H105" s="1777"/>
      <c r="I105" s="1777"/>
      <c r="J105" s="1777"/>
      <c r="K105" s="1280"/>
      <c r="L105" s="14"/>
      <c r="M105" s="2"/>
      <c r="N105" s="60"/>
      <c r="O105" s="10"/>
      <c r="P105" s="10"/>
      <c r="Q105" s="10"/>
    </row>
    <row r="106" spans="1:18" ht="6.75" customHeight="1" thickTop="1" x14ac:dyDescent="0.2">
      <c r="A106" s="1"/>
      <c r="B106" s="1137"/>
      <c r="C106" s="1137"/>
      <c r="D106" s="1138"/>
      <c r="E106" s="1138"/>
      <c r="F106" s="1139"/>
      <c r="G106" s="1139"/>
      <c r="H106" s="1139"/>
      <c r="I106" s="1139"/>
      <c r="J106" s="1139"/>
      <c r="K106" s="1139"/>
      <c r="L106" s="33"/>
      <c r="M106" s="750"/>
      <c r="N106" s="67"/>
      <c r="O106" s="60"/>
      <c r="P106" s="10"/>
      <c r="Q106" s="10"/>
      <c r="R106" s="10"/>
    </row>
    <row r="107" spans="1:18" ht="6.75" customHeight="1" x14ac:dyDescent="0.2">
      <c r="A107" s="1"/>
      <c r="B107" s="1137"/>
      <c r="C107" s="1137"/>
      <c r="D107" s="1138"/>
      <c r="E107" s="1138"/>
      <c r="F107" s="1139"/>
      <c r="G107" s="1139"/>
      <c r="H107" s="1139"/>
      <c r="I107" s="1139"/>
      <c r="J107" s="1139"/>
      <c r="K107" s="1139"/>
      <c r="L107" s="33"/>
      <c r="M107" s="750"/>
      <c r="N107" s="67"/>
      <c r="O107" s="60"/>
      <c r="P107" s="10"/>
      <c r="Q107" s="10"/>
      <c r="R107" s="10"/>
    </row>
    <row r="108" spans="1:18" s="34" customFormat="1" ht="33.75" customHeight="1" thickBot="1" x14ac:dyDescent="0.25">
      <c r="A108" s="2"/>
      <c r="B108" s="1609" t="s">
        <v>1382</v>
      </c>
      <c r="C108" s="1612"/>
      <c r="D108" s="1612"/>
      <c r="E108" s="1612"/>
      <c r="F108" s="1612"/>
      <c r="G108" s="1612"/>
      <c r="H108" s="1612"/>
      <c r="I108" s="1612"/>
      <c r="J108" s="1612"/>
      <c r="K108" s="1612"/>
      <c r="L108" s="33"/>
      <c r="M108" s="750"/>
      <c r="N108" s="67"/>
      <c r="O108" s="60"/>
      <c r="P108" s="60"/>
      <c r="Q108" s="60"/>
      <c r="R108" s="60"/>
    </row>
    <row r="109" spans="1:18" s="34" customFormat="1" ht="17.25" customHeight="1" thickTop="1" x14ac:dyDescent="0.2">
      <c r="A109" s="1277"/>
      <c r="B109" s="502" t="s">
        <v>535</v>
      </c>
      <c r="C109" s="1269" t="s">
        <v>8</v>
      </c>
      <c r="D109" s="1270" t="s">
        <v>9</v>
      </c>
      <c r="E109" s="1271" t="s">
        <v>10</v>
      </c>
      <c r="F109" s="1271"/>
      <c r="G109" s="1273"/>
      <c r="H109" s="1273"/>
      <c r="I109" s="1273"/>
      <c r="J109" s="1273"/>
      <c r="K109" s="1301"/>
      <c r="L109" s="33"/>
      <c r="M109" s="750"/>
      <c r="N109" s="67"/>
      <c r="O109" s="60"/>
      <c r="P109" s="60"/>
      <c r="Q109" s="60"/>
      <c r="R109" s="60"/>
    </row>
    <row r="110" spans="1:18" s="34" customFormat="1" ht="29.25" customHeight="1" thickBot="1" x14ac:dyDescent="0.25">
      <c r="A110" s="1277"/>
      <c r="B110" s="1306" t="s">
        <v>1083</v>
      </c>
      <c r="C110" s="1307"/>
      <c r="D110" s="583"/>
      <c r="E110" s="1302" t="s">
        <v>124</v>
      </c>
      <c r="F110" s="1303"/>
      <c r="G110" s="1303"/>
      <c r="H110" s="1303"/>
      <c r="I110" s="1303"/>
      <c r="J110" s="1303"/>
      <c r="K110" s="1304"/>
      <c r="L110" s="33"/>
      <c r="M110" s="750"/>
      <c r="N110" s="67"/>
      <c r="O110" s="60"/>
      <c r="P110" s="60"/>
      <c r="Q110" s="60"/>
      <c r="R110" s="60"/>
    </row>
    <row r="111" spans="1:18" s="34" customFormat="1" ht="40.5" customHeight="1" thickTop="1" x14ac:dyDescent="0.2">
      <c r="A111" s="1277"/>
      <c r="B111" s="1796" t="s">
        <v>45</v>
      </c>
      <c r="C111" s="1797"/>
      <c r="D111" s="1305" t="str">
        <f>Опц_42</f>
        <v>4200 /канал</v>
      </c>
      <c r="E111" s="1798" t="s">
        <v>395</v>
      </c>
      <c r="F111" s="1799"/>
      <c r="G111" s="1799"/>
      <c r="H111" s="1799"/>
      <c r="I111" s="1799"/>
      <c r="J111" s="1799"/>
      <c r="K111" s="1800"/>
      <c r="L111" s="33"/>
      <c r="M111" s="750"/>
      <c r="N111" s="67"/>
      <c r="O111" s="60"/>
      <c r="P111" s="60"/>
      <c r="Q111" s="60"/>
      <c r="R111" s="60"/>
    </row>
    <row r="112" spans="1:18" s="34" customFormat="1" ht="30" customHeight="1" x14ac:dyDescent="0.2">
      <c r="A112" s="1277"/>
      <c r="B112" s="1801" t="s">
        <v>943</v>
      </c>
      <c r="C112" s="1802"/>
      <c r="D112" s="1294">
        <f>Опц_USB</f>
        <v>5600</v>
      </c>
      <c r="E112" s="1803" t="s">
        <v>1205</v>
      </c>
      <c r="F112" s="1804"/>
      <c r="G112" s="1804"/>
      <c r="H112" s="1804"/>
      <c r="I112" s="1804"/>
      <c r="J112" s="1804"/>
      <c r="K112" s="1805"/>
      <c r="L112" s="33"/>
      <c r="M112" s="750"/>
      <c r="N112" s="67"/>
      <c r="O112" s="60"/>
      <c r="P112" s="60"/>
      <c r="Q112" s="60"/>
      <c r="R112" s="60"/>
    </row>
    <row r="113" spans="1:18" s="34" customFormat="1" ht="40.5" customHeight="1" x14ac:dyDescent="0.2">
      <c r="A113" s="1277"/>
      <c r="B113" s="1806" t="s">
        <v>944</v>
      </c>
      <c r="C113" s="1785"/>
      <c r="D113" s="1293">
        <f>Опц_RS485</f>
        <v>8400</v>
      </c>
      <c r="E113" s="1793" t="s">
        <v>1206</v>
      </c>
      <c r="F113" s="1807"/>
      <c r="G113" s="1807"/>
      <c r="H113" s="1807"/>
      <c r="I113" s="1807"/>
      <c r="J113" s="1807"/>
      <c r="K113" s="1808"/>
      <c r="L113" s="33"/>
      <c r="M113" s="750"/>
      <c r="N113" s="67"/>
      <c r="O113" s="60"/>
      <c r="P113" s="60"/>
      <c r="Q113" s="60"/>
      <c r="R113" s="60"/>
    </row>
    <row r="114" spans="1:18" s="34" customFormat="1" ht="30.75" customHeight="1" x14ac:dyDescent="0.2">
      <c r="A114" s="1277"/>
      <c r="B114" s="1801" t="s">
        <v>546</v>
      </c>
      <c r="C114" s="1818"/>
      <c r="D114" s="1292">
        <f>Опц_ИБП_ЭБ</f>
        <v>14000</v>
      </c>
      <c r="E114" s="1793" t="s">
        <v>359</v>
      </c>
      <c r="F114" s="1794"/>
      <c r="G114" s="1794"/>
      <c r="H114" s="1794"/>
      <c r="I114" s="1794"/>
      <c r="J114" s="1794"/>
      <c r="K114" s="1795"/>
      <c r="L114" s="33"/>
      <c r="M114" s="750"/>
      <c r="N114" s="67"/>
      <c r="O114" s="60"/>
      <c r="P114" s="60"/>
      <c r="Q114" s="60"/>
      <c r="R114" s="60"/>
    </row>
    <row r="115" spans="1:18" s="34" customFormat="1" ht="30" customHeight="1" x14ac:dyDescent="0.2">
      <c r="A115" s="1277"/>
      <c r="B115" s="1801" t="s">
        <v>746</v>
      </c>
      <c r="C115" s="1818"/>
      <c r="D115" s="1292">
        <f>Опц_1236В</f>
        <v>1400</v>
      </c>
      <c r="E115" s="1793" t="s">
        <v>747</v>
      </c>
      <c r="F115" s="1794"/>
      <c r="G115" s="1794"/>
      <c r="H115" s="1794"/>
      <c r="I115" s="1794"/>
      <c r="J115" s="1794"/>
      <c r="K115" s="1795"/>
      <c r="L115" s="33"/>
      <c r="M115" s="750"/>
      <c r="N115" s="67"/>
      <c r="O115" s="60"/>
      <c r="P115" s="60"/>
      <c r="Q115" s="60"/>
      <c r="R115" s="60"/>
    </row>
    <row r="116" spans="1:18" s="34" customFormat="1" ht="30.75" customHeight="1" x14ac:dyDescent="0.2">
      <c r="A116" s="1277"/>
      <c r="B116" s="1791" t="s">
        <v>677</v>
      </c>
      <c r="C116" s="1792"/>
      <c r="D116" s="1292">
        <f>Опц_24ИБП</f>
        <v>15400</v>
      </c>
      <c r="E116" s="1793" t="s">
        <v>678</v>
      </c>
      <c r="F116" s="1794"/>
      <c r="G116" s="1794"/>
      <c r="H116" s="1794"/>
      <c r="I116" s="1794"/>
      <c r="J116" s="1794"/>
      <c r="K116" s="1795"/>
      <c r="L116" s="33"/>
      <c r="M116" s="750"/>
      <c r="N116" s="67"/>
      <c r="O116" s="60"/>
      <c r="P116" s="60"/>
      <c r="Q116" s="60"/>
      <c r="R116" s="60"/>
    </row>
    <row r="117" spans="1:18" s="34" customFormat="1" ht="45" customHeight="1" x14ac:dyDescent="0.2">
      <c r="A117" s="1277"/>
      <c r="B117" s="1840" t="s">
        <v>740</v>
      </c>
      <c r="C117" s="1841"/>
      <c r="D117" s="1584" t="str">
        <f>Опц_нестандарт</f>
        <v>14000 /луч</v>
      </c>
      <c r="E117" s="1842" t="s">
        <v>1440</v>
      </c>
      <c r="F117" s="1843"/>
      <c r="G117" s="1843"/>
      <c r="H117" s="1843"/>
      <c r="I117" s="1843"/>
      <c r="J117" s="1843"/>
      <c r="K117" s="1844"/>
      <c r="L117" s="33"/>
      <c r="M117" s="750"/>
      <c r="N117" s="67"/>
      <c r="O117" s="60"/>
      <c r="P117" s="60"/>
      <c r="Q117" s="60"/>
      <c r="R117" s="60"/>
    </row>
    <row r="118" spans="1:18" s="34" customFormat="1" ht="54.75" customHeight="1" x14ac:dyDescent="0.2">
      <c r="A118" s="1277"/>
      <c r="B118" s="1819" t="s">
        <v>357</v>
      </c>
      <c r="C118" s="1820"/>
      <c r="D118" s="1662" t="str">
        <f>Опц_ПМЗ1</f>
        <v>14000 /луч</v>
      </c>
      <c r="E118" s="1821" t="s">
        <v>1441</v>
      </c>
      <c r="F118" s="1822"/>
      <c r="G118" s="1822"/>
      <c r="H118" s="1822"/>
      <c r="I118" s="1822"/>
      <c r="J118" s="1822"/>
      <c r="K118" s="1823"/>
      <c r="L118" s="33"/>
      <c r="M118" s="750"/>
      <c r="N118" s="67"/>
      <c r="O118" s="60"/>
      <c r="P118" s="60"/>
      <c r="Q118" s="60"/>
      <c r="R118" s="60"/>
    </row>
    <row r="119" spans="1:18" s="34" customFormat="1" ht="78.75" customHeight="1" thickBot="1" x14ac:dyDescent="0.25">
      <c r="A119" s="1277"/>
      <c r="B119" s="1809" t="s">
        <v>358</v>
      </c>
      <c r="C119" s="1775"/>
      <c r="D119" s="1583" t="str">
        <f>Опц_ПМЗ2</f>
        <v>21000 /луч</v>
      </c>
      <c r="E119" s="1810" t="s">
        <v>1442</v>
      </c>
      <c r="F119" s="1811"/>
      <c r="G119" s="1811"/>
      <c r="H119" s="1811"/>
      <c r="I119" s="1811"/>
      <c r="J119" s="1811"/>
      <c r="K119" s="1812"/>
      <c r="L119" s="33"/>
      <c r="M119" s="750"/>
      <c r="N119" s="67"/>
      <c r="O119" s="60"/>
      <c r="P119" s="60"/>
      <c r="Q119" s="60"/>
      <c r="R119" s="60"/>
    </row>
    <row r="120" spans="1:18" s="34" customFormat="1" ht="29.25" customHeight="1" thickTop="1" thickBot="1" x14ac:dyDescent="0.25">
      <c r="A120" s="1277"/>
      <c r="B120" s="1813" t="s">
        <v>1084</v>
      </c>
      <c r="C120" s="1814"/>
      <c r="D120" s="1310"/>
      <c r="E120" s="1815" t="s">
        <v>572</v>
      </c>
      <c r="F120" s="1816"/>
      <c r="G120" s="1816"/>
      <c r="H120" s="1816"/>
      <c r="I120" s="1816"/>
      <c r="J120" s="1816"/>
      <c r="K120" s="1817"/>
      <c r="L120" s="294"/>
      <c r="M120" s="752"/>
      <c r="N120" s="294"/>
      <c r="O120" s="60"/>
      <c r="P120" s="60"/>
      <c r="Q120" s="60"/>
      <c r="R120" s="60"/>
    </row>
    <row r="121" spans="1:18" s="34" customFormat="1" ht="28.5" customHeight="1" thickTop="1" x14ac:dyDescent="0.2">
      <c r="A121" s="1277"/>
      <c r="B121" s="1824" t="s">
        <v>1194</v>
      </c>
      <c r="C121" s="1825"/>
      <c r="D121" s="1309" t="str">
        <f>Опц_IP68</f>
        <v>8400 /луч</v>
      </c>
      <c r="E121" s="1826" t="s">
        <v>735</v>
      </c>
      <c r="F121" s="1827"/>
      <c r="G121" s="1827"/>
      <c r="H121" s="1827"/>
      <c r="I121" s="1827"/>
      <c r="J121" s="1827"/>
      <c r="K121" s="1828"/>
      <c r="L121" s="33"/>
      <c r="M121" s="750"/>
      <c r="N121" s="67"/>
      <c r="O121" s="60"/>
      <c r="P121" s="60"/>
      <c r="Q121" s="60"/>
      <c r="R121" s="60"/>
    </row>
    <row r="122" spans="1:18" s="34" customFormat="1" ht="28.5" customHeight="1" x14ac:dyDescent="0.2">
      <c r="A122" s="1277"/>
      <c r="B122" s="1791" t="s">
        <v>1193</v>
      </c>
      <c r="C122" s="1792"/>
      <c r="D122" s="1296" t="str">
        <f>Опц_ПЭПУ</f>
        <v>2800 /луч</v>
      </c>
      <c r="E122" s="1793" t="s">
        <v>360</v>
      </c>
      <c r="F122" s="1794"/>
      <c r="G122" s="1794"/>
      <c r="H122" s="1794"/>
      <c r="I122" s="1794"/>
      <c r="J122" s="1794"/>
      <c r="K122" s="1795"/>
      <c r="L122" s="33"/>
      <c r="M122" s="750"/>
      <c r="N122" s="67"/>
      <c r="O122" s="60"/>
      <c r="P122" s="60"/>
      <c r="Q122" s="60"/>
      <c r="R122" s="60"/>
    </row>
    <row r="123" spans="1:18" s="34" customFormat="1" ht="28.5" customHeight="1" x14ac:dyDescent="0.2">
      <c r="A123" s="1277"/>
      <c r="B123" s="1806" t="s">
        <v>379</v>
      </c>
      <c r="C123" s="1829"/>
      <c r="D123" s="1296" t="str">
        <f>Опц_IP68У</f>
        <v>11200 /луч</v>
      </c>
      <c r="E123" s="1793" t="s">
        <v>368</v>
      </c>
      <c r="F123" s="1794"/>
      <c r="G123" s="1794"/>
      <c r="H123" s="1794"/>
      <c r="I123" s="1794"/>
      <c r="J123" s="1794"/>
      <c r="K123" s="1795"/>
      <c r="L123" s="33"/>
      <c r="M123" s="750"/>
      <c r="N123" s="67"/>
      <c r="O123" s="60"/>
      <c r="P123" s="60"/>
      <c r="Q123" s="60"/>
      <c r="R123" s="60"/>
    </row>
    <row r="124" spans="1:18" s="34" customFormat="1" ht="28.5" customHeight="1" x14ac:dyDescent="0.2">
      <c r="A124" s="1277"/>
      <c r="B124" s="1833" t="s">
        <v>550</v>
      </c>
      <c r="C124" s="1789"/>
      <c r="D124" s="1296" t="str">
        <f>Опц_200</f>
        <v>16800 /луч</v>
      </c>
      <c r="E124" s="1793" t="s">
        <v>736</v>
      </c>
      <c r="F124" s="1794"/>
      <c r="G124" s="1794"/>
      <c r="H124" s="1794"/>
      <c r="I124" s="1794"/>
      <c r="J124" s="1794"/>
      <c r="K124" s="1795"/>
      <c r="L124" s="33"/>
      <c r="M124" s="750"/>
      <c r="N124" s="67"/>
      <c r="O124" s="60"/>
      <c r="P124" s="60"/>
      <c r="Q124" s="60"/>
      <c r="R124" s="60"/>
    </row>
    <row r="125" spans="1:18" s="34" customFormat="1" ht="28.5" customHeight="1" x14ac:dyDescent="0.2">
      <c r="A125" s="1277"/>
      <c r="B125" s="1833" t="s">
        <v>738</v>
      </c>
      <c r="C125" s="1789"/>
      <c r="D125" s="1295" t="str">
        <f>Опц_200_68</f>
        <v>28000 /луч</v>
      </c>
      <c r="E125" s="1793" t="s">
        <v>739</v>
      </c>
      <c r="F125" s="1794"/>
      <c r="G125" s="1794"/>
      <c r="H125" s="1794"/>
      <c r="I125" s="1794"/>
      <c r="J125" s="1794"/>
      <c r="K125" s="1795"/>
      <c r="L125" s="33"/>
      <c r="M125" s="750"/>
      <c r="N125" s="67"/>
      <c r="O125" s="60"/>
      <c r="P125" s="60"/>
      <c r="Q125" s="60"/>
      <c r="R125" s="60"/>
    </row>
    <row r="126" spans="1:18" s="34" customFormat="1" ht="28.5" customHeight="1" x14ac:dyDescent="0.2">
      <c r="A126" s="1277"/>
      <c r="B126" s="1834" t="s">
        <v>947</v>
      </c>
      <c r="C126" s="1835"/>
      <c r="D126" s="1297" t="str">
        <f>Опц_220</f>
        <v>35000 /луч</v>
      </c>
      <c r="E126" s="1793" t="s">
        <v>948</v>
      </c>
      <c r="F126" s="1794"/>
      <c r="G126" s="1794"/>
      <c r="H126" s="1794"/>
      <c r="I126" s="1794"/>
      <c r="J126" s="1794"/>
      <c r="K126" s="1795"/>
      <c r="L126" s="33"/>
      <c r="M126" s="750"/>
      <c r="N126" s="67"/>
      <c r="O126" s="60"/>
      <c r="P126" s="60"/>
      <c r="Q126" s="60"/>
      <c r="R126" s="60"/>
    </row>
    <row r="127" spans="1:18" s="34" customFormat="1" ht="28.5" customHeight="1" x14ac:dyDescent="0.2">
      <c r="A127" s="1277"/>
      <c r="B127" s="1806" t="s">
        <v>549</v>
      </c>
      <c r="C127" s="1829"/>
      <c r="D127" s="1296" t="str">
        <f>Опц_ПП212</f>
        <v>16800 /луч</v>
      </c>
      <c r="E127" s="1845" t="s">
        <v>369</v>
      </c>
      <c r="F127" s="1846"/>
      <c r="G127" s="1846"/>
      <c r="H127" s="1846"/>
      <c r="I127" s="1846"/>
      <c r="J127" s="1846"/>
      <c r="K127" s="1847"/>
      <c r="L127" s="33"/>
      <c r="M127" s="750"/>
      <c r="N127" s="67"/>
      <c r="O127" s="60"/>
      <c r="P127" s="60"/>
      <c r="Q127" s="60"/>
      <c r="R127" s="60"/>
    </row>
    <row r="128" spans="1:18" s="34" customFormat="1" ht="28.5" customHeight="1" x14ac:dyDescent="0.2">
      <c r="A128" s="1277"/>
      <c r="B128" s="1784" t="s">
        <v>737</v>
      </c>
      <c r="C128" s="1829"/>
      <c r="D128" s="1296" t="str">
        <f>Опц_ПП212_68</f>
        <v>28000 /луч</v>
      </c>
      <c r="E128" s="1830" t="s">
        <v>370</v>
      </c>
      <c r="F128" s="1831"/>
      <c r="G128" s="1831"/>
      <c r="H128" s="1831"/>
      <c r="I128" s="1831"/>
      <c r="J128" s="1831"/>
      <c r="K128" s="1832"/>
      <c r="L128" s="33"/>
      <c r="M128" s="750"/>
      <c r="N128" s="67"/>
      <c r="O128" s="60"/>
      <c r="P128" s="60"/>
      <c r="Q128" s="60"/>
      <c r="R128" s="60"/>
    </row>
    <row r="129" spans="1:18" s="34" customFormat="1" ht="28.5" customHeight="1" x14ac:dyDescent="0.2">
      <c r="A129" s="1277"/>
      <c r="B129" s="1834" t="s">
        <v>788</v>
      </c>
      <c r="C129" s="1835"/>
      <c r="D129" s="1309" t="str">
        <f>Опц_ПЭПФ</f>
        <v>21000 /луч</v>
      </c>
      <c r="E129" s="1793" t="s">
        <v>789</v>
      </c>
      <c r="F129" s="1794"/>
      <c r="G129" s="1794"/>
      <c r="H129" s="1794"/>
      <c r="I129" s="1794"/>
      <c r="J129" s="1794"/>
      <c r="K129" s="1795"/>
      <c r="L129" s="33"/>
      <c r="M129" s="750"/>
      <c r="N129" s="67"/>
      <c r="O129" s="60"/>
      <c r="P129" s="60"/>
      <c r="Q129" s="60"/>
      <c r="R129" s="60"/>
    </row>
    <row r="130" spans="1:18" s="34" customFormat="1" ht="28.5" customHeight="1" x14ac:dyDescent="0.2">
      <c r="A130" s="1277"/>
      <c r="B130" s="1806" t="s">
        <v>548</v>
      </c>
      <c r="C130" s="1829"/>
      <c r="D130" s="1295" t="str">
        <f>Опц_ШК</f>
        <v>21000 /луч</v>
      </c>
      <c r="E130" s="1845" t="s">
        <v>88</v>
      </c>
      <c r="F130" s="1846"/>
      <c r="G130" s="1846"/>
      <c r="H130" s="1846"/>
      <c r="I130" s="1846"/>
      <c r="J130" s="1846"/>
      <c r="K130" s="1847"/>
      <c r="L130" s="33"/>
      <c r="M130" s="750"/>
      <c r="N130" s="67"/>
      <c r="O130" s="60"/>
      <c r="P130" s="60"/>
      <c r="Q130" s="60"/>
      <c r="R130" s="60"/>
    </row>
    <row r="131" spans="1:18" s="34" customFormat="1" ht="42" customHeight="1" x14ac:dyDescent="0.2">
      <c r="A131" s="1277"/>
      <c r="B131" s="1833" t="s">
        <v>946</v>
      </c>
      <c r="C131" s="1789"/>
      <c r="D131" s="1298" t="str">
        <f>Опц_давлен</f>
        <v>по запросу</v>
      </c>
      <c r="E131" s="1793" t="s">
        <v>945</v>
      </c>
      <c r="F131" s="1794"/>
      <c r="G131" s="1794"/>
      <c r="H131" s="1794"/>
      <c r="I131" s="1794"/>
      <c r="J131" s="1794"/>
      <c r="K131" s="1795"/>
      <c r="L131" s="33"/>
      <c r="M131" s="750"/>
      <c r="N131" s="67"/>
      <c r="O131" s="60"/>
      <c r="P131" s="60"/>
      <c r="Q131" s="60"/>
      <c r="R131" s="60"/>
    </row>
    <row r="132" spans="1:18" s="34" customFormat="1" ht="28.5" customHeight="1" thickBot="1" x14ac:dyDescent="0.25">
      <c r="A132" s="1277"/>
      <c r="B132" s="1864" t="s">
        <v>547</v>
      </c>
      <c r="C132" s="1865"/>
      <c r="D132" s="1308" t="str">
        <f>Опц_поверкаR</f>
        <v>7000 /луч</v>
      </c>
      <c r="E132" s="1866" t="s">
        <v>731</v>
      </c>
      <c r="F132" s="1867"/>
      <c r="G132" s="1867"/>
      <c r="H132" s="1867"/>
      <c r="I132" s="1867"/>
      <c r="J132" s="1867"/>
      <c r="K132" s="1868"/>
      <c r="L132" s="33"/>
      <c r="M132" s="750"/>
      <c r="N132" s="67"/>
      <c r="O132" s="60"/>
      <c r="P132" s="60"/>
      <c r="Q132" s="60"/>
      <c r="R132" s="60"/>
    </row>
    <row r="133" spans="1:18" s="34" customFormat="1" ht="7.5" customHeight="1" thickTop="1" x14ac:dyDescent="0.2">
      <c r="A133" s="2"/>
      <c r="B133" s="1312"/>
      <c r="C133" s="1313"/>
      <c r="D133" s="254"/>
      <c r="E133" s="1311"/>
      <c r="F133" s="371"/>
      <c r="G133" s="371"/>
      <c r="H133" s="371"/>
      <c r="I133" s="371"/>
      <c r="J133" s="371"/>
      <c r="K133" s="371"/>
      <c r="L133" s="33"/>
      <c r="M133" s="750"/>
      <c r="N133" s="67"/>
      <c r="O133" s="60"/>
      <c r="P133" s="60"/>
      <c r="Q133" s="60"/>
      <c r="R133" s="60"/>
    </row>
    <row r="134" spans="1:18" ht="33.75" customHeight="1" thickBot="1" x14ac:dyDescent="0.25">
      <c r="A134" s="1"/>
      <c r="B134" s="1609" t="s">
        <v>1383</v>
      </c>
      <c r="C134" s="1610"/>
      <c r="D134" s="1610"/>
      <c r="E134" s="1610"/>
      <c r="F134" s="1610"/>
      <c r="G134" s="1610"/>
      <c r="H134" s="1610"/>
      <c r="I134" s="1610"/>
      <c r="J134" s="1610"/>
      <c r="K134" s="1610"/>
      <c r="L134" s="14"/>
      <c r="M134" s="2"/>
      <c r="N134" s="60"/>
      <c r="O134" s="10"/>
      <c r="P134" s="10"/>
      <c r="Q134" s="10"/>
      <c r="R134" s="10"/>
    </row>
    <row r="135" spans="1:18" ht="15" customHeight="1" thickTop="1" x14ac:dyDescent="0.2">
      <c r="A135" s="1277"/>
      <c r="B135" s="1319" t="s">
        <v>535</v>
      </c>
      <c r="C135" s="1269" t="s">
        <v>8</v>
      </c>
      <c r="D135" s="1270" t="s">
        <v>9</v>
      </c>
      <c r="E135" s="1271" t="s">
        <v>10</v>
      </c>
      <c r="F135" s="1272"/>
      <c r="G135" s="1273"/>
      <c r="H135" s="1273"/>
      <c r="I135" s="1273"/>
      <c r="J135" s="1273"/>
      <c r="K135" s="1278"/>
      <c r="L135" s="14"/>
      <c r="M135" s="2"/>
      <c r="N135" s="60"/>
      <c r="O135" s="10"/>
      <c r="P135" s="10"/>
      <c r="Q135" s="10"/>
      <c r="R135" s="10"/>
    </row>
    <row r="136" spans="1:18" ht="45" customHeight="1" x14ac:dyDescent="0.2">
      <c r="A136" s="1277"/>
      <c r="B136" s="1853" t="s">
        <v>1099</v>
      </c>
      <c r="C136" s="1854"/>
      <c r="D136" s="1299">
        <f>Модем_RS485</f>
        <v>10800</v>
      </c>
      <c r="E136" s="1850" t="s">
        <v>23</v>
      </c>
      <c r="F136" s="1851"/>
      <c r="G136" s="1851"/>
      <c r="H136" s="1851"/>
      <c r="I136" s="1851"/>
      <c r="J136" s="1852"/>
      <c r="K136" s="1419"/>
      <c r="L136" s="14"/>
      <c r="M136" s="2"/>
      <c r="N136" s="60"/>
      <c r="O136" s="10"/>
      <c r="P136" s="10"/>
      <c r="Q136" s="10"/>
      <c r="R136" s="10"/>
    </row>
    <row r="137" spans="1:18" ht="45" customHeight="1" x14ac:dyDescent="0.2">
      <c r="A137" s="1277"/>
      <c r="B137" s="1848" t="s">
        <v>914</v>
      </c>
      <c r="C137" s="1849"/>
      <c r="D137" s="1295">
        <f>Модем_USB</f>
        <v>10800</v>
      </c>
      <c r="E137" s="1855" t="s">
        <v>688</v>
      </c>
      <c r="F137" s="1838"/>
      <c r="G137" s="1838"/>
      <c r="H137" s="1838"/>
      <c r="I137" s="1838"/>
      <c r="J137" s="1839"/>
      <c r="K137" s="1420"/>
      <c r="L137" s="14"/>
      <c r="M137" s="2"/>
      <c r="N137" s="60"/>
      <c r="O137" s="10"/>
      <c r="P137" s="10"/>
      <c r="Q137" s="10"/>
      <c r="R137" s="10"/>
    </row>
    <row r="138" spans="1:18" ht="45" customHeight="1" x14ac:dyDescent="0.2">
      <c r="A138" s="1277"/>
      <c r="B138" s="1848" t="s">
        <v>1225</v>
      </c>
      <c r="C138" s="1849"/>
      <c r="D138" s="1297">
        <f>GPRS_терм</f>
        <v>25200</v>
      </c>
      <c r="E138" s="1855" t="s">
        <v>1226</v>
      </c>
      <c r="F138" s="1838"/>
      <c r="G138" s="1838"/>
      <c r="H138" s="1838"/>
      <c r="I138" s="1838"/>
      <c r="J138" s="1839"/>
      <c r="K138" s="1421"/>
      <c r="L138" s="14"/>
      <c r="M138" s="2"/>
      <c r="N138" s="60"/>
      <c r="O138" s="10"/>
      <c r="P138" s="10"/>
      <c r="Q138" s="10"/>
    </row>
    <row r="139" spans="1:18" ht="45" customHeight="1" x14ac:dyDescent="0.2">
      <c r="A139" s="1277"/>
      <c r="B139" s="1848" t="s">
        <v>161</v>
      </c>
      <c r="C139" s="1849"/>
      <c r="D139" s="1296">
        <f>Конверт_RS232</f>
        <v>10800</v>
      </c>
      <c r="E139" s="1850" t="s">
        <v>452</v>
      </c>
      <c r="F139" s="1851"/>
      <c r="G139" s="1851"/>
      <c r="H139" s="1851"/>
      <c r="I139" s="1851"/>
      <c r="J139" s="1852"/>
      <c r="K139" s="1421"/>
      <c r="L139" s="14"/>
      <c r="M139" s="2"/>
      <c r="N139" s="60"/>
      <c r="O139" s="10"/>
      <c r="P139" s="10"/>
      <c r="Q139" s="10"/>
    </row>
    <row r="140" spans="1:18" ht="45" customHeight="1" x14ac:dyDescent="0.2">
      <c r="A140" s="1277"/>
      <c r="B140" s="1848" t="s">
        <v>162</v>
      </c>
      <c r="C140" s="1849"/>
      <c r="D140" s="1296">
        <f>Конверт_USB</f>
        <v>14400</v>
      </c>
      <c r="E140" s="1855" t="s">
        <v>22</v>
      </c>
      <c r="F140" s="1838"/>
      <c r="G140" s="1838"/>
      <c r="H140" s="1838"/>
      <c r="I140" s="1838"/>
      <c r="J140" s="1839"/>
      <c r="K140" s="1279"/>
      <c r="L140" s="14"/>
      <c r="M140" s="2"/>
      <c r="N140" s="60"/>
      <c r="O140" s="10"/>
      <c r="P140" s="10"/>
      <c r="Q140" s="10"/>
    </row>
    <row r="141" spans="1:18" ht="45" customHeight="1" x14ac:dyDescent="0.2">
      <c r="A141" s="1277"/>
      <c r="B141" s="1848" t="s">
        <v>471</v>
      </c>
      <c r="C141" s="1849"/>
      <c r="D141" s="1295">
        <f>Конверт_Ethernet</f>
        <v>21600</v>
      </c>
      <c r="E141" s="1856" t="s">
        <v>689</v>
      </c>
      <c r="F141" s="1857"/>
      <c r="G141" s="1857"/>
      <c r="H141" s="1857"/>
      <c r="I141" s="1857"/>
      <c r="J141" s="1858"/>
      <c r="K141" s="1421"/>
      <c r="L141" s="14"/>
      <c r="M141" s="2"/>
      <c r="N141" s="60"/>
      <c r="O141" s="10"/>
      <c r="P141" s="10"/>
      <c r="Q141" s="10"/>
    </row>
    <row r="142" spans="1:18" ht="45" customHeight="1" x14ac:dyDescent="0.2">
      <c r="A142" s="1277"/>
      <c r="B142" s="1848" t="s">
        <v>715</v>
      </c>
      <c r="C142" s="1849"/>
      <c r="D142" s="1297">
        <f>Нетбук</f>
        <v>42000</v>
      </c>
      <c r="E142" s="1850" t="s">
        <v>324</v>
      </c>
      <c r="F142" s="1851"/>
      <c r="G142" s="1851"/>
      <c r="H142" s="1851"/>
      <c r="I142" s="1851"/>
      <c r="J142" s="1852"/>
      <c r="K142" s="1279"/>
      <c r="L142" s="14"/>
      <c r="M142" s="2"/>
      <c r="N142" s="60"/>
      <c r="O142" s="10"/>
      <c r="P142" s="10"/>
      <c r="Q142" s="10"/>
    </row>
    <row r="143" spans="1:18" ht="45" customHeight="1" x14ac:dyDescent="0.2">
      <c r="A143" s="1277"/>
      <c r="B143" s="1836" t="s">
        <v>949</v>
      </c>
      <c r="C143" s="1837"/>
      <c r="D143" s="1296">
        <f>Шкаф_необогр</f>
        <v>28000</v>
      </c>
      <c r="E143" s="1793" t="s">
        <v>950</v>
      </c>
      <c r="F143" s="1838"/>
      <c r="G143" s="1838"/>
      <c r="H143" s="1838"/>
      <c r="I143" s="1838"/>
      <c r="J143" s="1839"/>
      <c r="K143" s="1422"/>
      <c r="L143" s="14"/>
      <c r="M143" s="2"/>
      <c r="N143" s="60"/>
      <c r="O143" s="10"/>
      <c r="P143" s="10"/>
      <c r="Q143" s="10"/>
    </row>
    <row r="144" spans="1:18" ht="45" customHeight="1" thickBot="1" x14ac:dyDescent="0.25">
      <c r="A144" s="1277"/>
      <c r="B144" s="1859" t="s">
        <v>1087</v>
      </c>
      <c r="C144" s="1860"/>
      <c r="D144" s="1300">
        <f>Шкаф_обогр</f>
        <v>49000</v>
      </c>
      <c r="E144" s="1861" t="s">
        <v>377</v>
      </c>
      <c r="F144" s="1862"/>
      <c r="G144" s="1862"/>
      <c r="H144" s="1862"/>
      <c r="I144" s="1862"/>
      <c r="J144" s="1863"/>
      <c r="K144" s="1423"/>
      <c r="L144" s="14"/>
      <c r="M144" s="2"/>
      <c r="N144" s="60"/>
      <c r="O144" s="10"/>
      <c r="P144" s="10"/>
      <c r="Q144" s="10"/>
    </row>
    <row r="145" spans="1:18" ht="7.5" customHeight="1" thickBot="1" x14ac:dyDescent="0.25">
      <c r="A145" s="1277"/>
      <c r="B145" s="1315"/>
      <c r="C145" s="1315"/>
      <c r="D145" s="1316"/>
      <c r="E145" s="1316"/>
      <c r="F145" s="1317"/>
      <c r="G145" s="1317"/>
      <c r="H145" s="1317"/>
      <c r="I145" s="1317"/>
      <c r="J145" s="1317"/>
      <c r="K145" s="1318"/>
      <c r="L145" s="11"/>
      <c r="M145" s="2"/>
      <c r="N145" s="60"/>
      <c r="O145" s="10"/>
      <c r="P145" s="10"/>
      <c r="Q145" s="10"/>
    </row>
    <row r="146" spans="1:18" ht="13.5" thickTop="1" x14ac:dyDescent="0.2">
      <c r="A146" s="1"/>
      <c r="B146" s="1314"/>
      <c r="C146" s="15"/>
      <c r="D146" s="350"/>
      <c r="E146" s="351"/>
      <c r="F146" s="351"/>
      <c r="G146" s="351"/>
      <c r="H146" s="351"/>
      <c r="I146" s="351"/>
      <c r="J146" s="351"/>
      <c r="K146" s="351"/>
      <c r="L146" s="11"/>
      <c r="M146" s="2"/>
      <c r="N146" s="60"/>
      <c r="O146" s="10"/>
      <c r="P146" s="10"/>
      <c r="Q146" s="10"/>
    </row>
    <row r="147" spans="1:18" ht="13.5" thickBot="1" x14ac:dyDescent="0.25">
      <c r="A147" s="1"/>
      <c r="B147" s="41"/>
      <c r="C147" s="41"/>
      <c r="D147" s="41"/>
      <c r="E147" s="41"/>
      <c r="F147" s="41"/>
      <c r="G147" s="41"/>
      <c r="H147" s="41"/>
      <c r="I147" s="41"/>
      <c r="J147" s="46"/>
      <c r="K147" s="54"/>
      <c r="L147" s="13"/>
      <c r="M147" s="2"/>
      <c r="N147" s="60"/>
      <c r="O147" s="10"/>
      <c r="P147" s="10"/>
      <c r="Q147" s="10"/>
    </row>
    <row r="148" spans="1:18" ht="15.75" x14ac:dyDescent="0.25">
      <c r="A148" s="1"/>
      <c r="B148" s="40" t="s">
        <v>1207</v>
      </c>
      <c r="C148" s="35"/>
      <c r="D148" s="35"/>
      <c r="E148" s="35"/>
      <c r="F148" s="35"/>
      <c r="G148" s="35"/>
      <c r="H148" s="35"/>
      <c r="I148" s="35"/>
      <c r="J148" s="35"/>
      <c r="K148" s="36"/>
      <c r="L148" s="210"/>
      <c r="M148" s="2"/>
      <c r="N148" s="60"/>
      <c r="O148" s="10"/>
      <c r="P148" s="10"/>
      <c r="Q148" s="10"/>
    </row>
    <row r="149" spans="1:18" ht="13.5" thickBot="1" x14ac:dyDescent="0.25">
      <c r="A149" s="1"/>
      <c r="B149" s="37"/>
      <c r="C149" s="38"/>
      <c r="D149" s="38"/>
      <c r="E149" s="38"/>
      <c r="F149" s="38"/>
      <c r="G149" s="38"/>
      <c r="H149" s="38"/>
      <c r="I149" s="38"/>
      <c r="J149" s="38"/>
      <c r="K149" s="39"/>
      <c r="L149" s="209"/>
      <c r="M149" s="2"/>
      <c r="N149" s="60"/>
      <c r="O149" s="10"/>
      <c r="P149" s="10"/>
      <c r="Q149" s="10"/>
      <c r="R149" s="10"/>
    </row>
    <row r="150" spans="1:18" x14ac:dyDescent="0.2">
      <c r="A150" s="1"/>
      <c r="B150" s="52"/>
      <c r="C150" s="45"/>
      <c r="D150" s="45"/>
      <c r="E150" s="45"/>
      <c r="G150" s="4"/>
      <c r="H150" s="45"/>
      <c r="I150" s="47"/>
      <c r="J150" s="45"/>
      <c r="K150" s="205"/>
      <c r="L150" s="208"/>
      <c r="M150" s="2"/>
      <c r="N150" s="60"/>
      <c r="O150" s="10"/>
      <c r="P150" s="10"/>
      <c r="Q150" s="10"/>
      <c r="R150" s="10"/>
    </row>
    <row r="151" spans="1:18" x14ac:dyDescent="0.2">
      <c r="A151" s="1"/>
      <c r="B151" s="51"/>
      <c r="C151" s="6"/>
      <c r="D151" s="6"/>
      <c r="E151" s="6"/>
      <c r="F151" s="14"/>
      <c r="G151" s="8"/>
      <c r="H151" s="6"/>
      <c r="I151" s="6"/>
      <c r="J151" s="6"/>
      <c r="K151" s="157"/>
      <c r="L151" s="110"/>
      <c r="M151" s="2"/>
      <c r="N151" s="60"/>
      <c r="O151" s="10"/>
      <c r="P151" s="10"/>
      <c r="Q151" s="10"/>
      <c r="R151" s="10"/>
    </row>
    <row r="152" spans="1:18" x14ac:dyDescent="0.2">
      <c r="A152" s="1"/>
      <c r="B152" s="49"/>
      <c r="C152" s="3"/>
      <c r="D152" s="3"/>
      <c r="E152" s="3"/>
      <c r="G152" s="4"/>
      <c r="H152" s="3"/>
      <c r="I152" s="3"/>
      <c r="J152" s="3"/>
      <c r="K152" s="157"/>
      <c r="L152" s="110"/>
      <c r="M152" s="2"/>
      <c r="N152" s="60"/>
      <c r="O152" s="10"/>
      <c r="P152" s="10"/>
      <c r="Q152" s="10"/>
      <c r="R152" s="10"/>
    </row>
    <row r="153" spans="1:18" x14ac:dyDescent="0.2">
      <c r="A153" s="1"/>
      <c r="B153" s="55"/>
      <c r="C153" s="7"/>
      <c r="D153" s="7"/>
      <c r="E153" s="7"/>
      <c r="F153" s="32"/>
      <c r="G153" s="18"/>
      <c r="H153" s="7"/>
      <c r="I153" s="7"/>
      <c r="J153" s="7"/>
      <c r="K153" s="157"/>
      <c r="L153" s="110"/>
      <c r="M153" s="2"/>
      <c r="N153" s="60"/>
      <c r="O153" s="10"/>
      <c r="P153" s="10"/>
      <c r="Q153" s="10"/>
      <c r="R153" s="10"/>
    </row>
    <row r="154" spans="1:18" x14ac:dyDescent="0.2">
      <c r="A154" s="1"/>
      <c r="B154" s="51"/>
      <c r="C154" s="6"/>
      <c r="D154" s="6"/>
      <c r="E154" s="6"/>
      <c r="F154" s="14"/>
      <c r="G154" s="8"/>
      <c r="H154" s="6"/>
      <c r="I154" s="6"/>
      <c r="J154" s="6"/>
      <c r="K154" s="157"/>
      <c r="L154" s="110"/>
      <c r="M154" s="2"/>
      <c r="N154" s="60"/>
      <c r="O154" s="10"/>
      <c r="P154" s="10"/>
      <c r="Q154" s="10"/>
      <c r="R154" s="10"/>
    </row>
    <row r="155" spans="1:18" x14ac:dyDescent="0.2">
      <c r="A155" s="1"/>
      <c r="B155" s="48"/>
      <c r="C155" s="5"/>
      <c r="D155" s="5"/>
      <c r="E155" s="5"/>
      <c r="F155" s="11"/>
      <c r="G155" s="9"/>
      <c r="H155" s="5"/>
      <c r="I155" s="5"/>
      <c r="J155" s="5"/>
      <c r="K155" s="157"/>
      <c r="L155" s="110"/>
      <c r="M155" s="2"/>
      <c r="N155" s="60"/>
      <c r="O155" s="10"/>
      <c r="P155" s="10"/>
      <c r="Q155" s="10"/>
      <c r="R155" s="10"/>
    </row>
    <row r="156" spans="1:18" x14ac:dyDescent="0.2">
      <c r="A156" s="1"/>
      <c r="B156" s="51"/>
      <c r="C156" s="6"/>
      <c r="D156" s="6"/>
      <c r="E156" s="6"/>
      <c r="F156" s="14"/>
      <c r="G156" s="8"/>
      <c r="H156" s="6"/>
      <c r="I156" s="6"/>
      <c r="J156" s="6"/>
      <c r="K156" s="157"/>
      <c r="L156" s="110"/>
      <c r="M156" s="2"/>
      <c r="N156" s="60"/>
      <c r="O156" s="10"/>
      <c r="P156" s="10"/>
      <c r="Q156" s="10"/>
      <c r="R156" s="10"/>
    </row>
    <row r="157" spans="1:18" x14ac:dyDescent="0.2">
      <c r="A157" s="1"/>
      <c r="B157" s="49"/>
      <c r="C157" s="3"/>
      <c r="D157" s="3"/>
      <c r="E157" s="3"/>
      <c r="G157" s="4"/>
      <c r="H157" s="3"/>
      <c r="I157" s="3"/>
      <c r="J157" s="3"/>
      <c r="K157" s="157"/>
      <c r="L157" s="110"/>
      <c r="M157" s="2"/>
      <c r="N157" s="60"/>
      <c r="O157" s="10"/>
      <c r="P157" s="10"/>
      <c r="Q157" s="10"/>
      <c r="R157" s="10"/>
    </row>
    <row r="158" spans="1:18" x14ac:dyDescent="0.2">
      <c r="A158" s="1"/>
      <c r="B158" s="51"/>
      <c r="C158" s="6"/>
      <c r="D158" s="6"/>
      <c r="E158" s="6"/>
      <c r="F158" s="14"/>
      <c r="G158" s="8"/>
      <c r="H158" s="6"/>
      <c r="I158" s="6"/>
      <c r="J158" s="6"/>
      <c r="K158" s="157"/>
      <c r="L158" s="110"/>
      <c r="M158" s="2"/>
      <c r="N158" s="60"/>
      <c r="O158" s="10"/>
      <c r="P158" s="10"/>
      <c r="Q158" s="10"/>
      <c r="R158" s="10"/>
    </row>
    <row r="159" spans="1:18" x14ac:dyDescent="0.2">
      <c r="A159" s="1"/>
      <c r="B159" s="49"/>
      <c r="C159" s="3"/>
      <c r="D159" s="3"/>
      <c r="E159" s="3"/>
      <c r="G159" s="4"/>
      <c r="H159" s="3"/>
      <c r="I159" s="3"/>
      <c r="J159" s="3"/>
      <c r="K159" s="157"/>
      <c r="L159" s="110"/>
      <c r="M159" s="2"/>
      <c r="N159" s="60"/>
      <c r="O159" s="10"/>
      <c r="P159" s="10"/>
      <c r="Q159" s="10"/>
      <c r="R159" s="10"/>
    </row>
    <row r="160" spans="1:18" x14ac:dyDescent="0.2">
      <c r="A160" s="1"/>
      <c r="B160" s="51"/>
      <c r="C160" s="6"/>
      <c r="D160" s="6"/>
      <c r="E160" s="6"/>
      <c r="F160" s="14"/>
      <c r="G160" s="8"/>
      <c r="H160" s="6"/>
      <c r="I160" s="6"/>
      <c r="J160" s="6"/>
      <c r="K160" s="157"/>
      <c r="L160" s="208"/>
      <c r="M160" s="2"/>
      <c r="N160" s="60"/>
      <c r="O160" s="10"/>
      <c r="P160" s="10"/>
      <c r="Q160" s="10"/>
      <c r="R160" s="10"/>
    </row>
    <row r="161" spans="1:18" x14ac:dyDescent="0.2">
      <c r="A161" s="1"/>
      <c r="B161" s="49"/>
      <c r="C161" s="3"/>
      <c r="D161" s="3"/>
      <c r="E161" s="3"/>
      <c r="G161" s="4"/>
      <c r="H161" s="3"/>
      <c r="I161" s="3"/>
      <c r="J161" s="3"/>
      <c r="K161" s="157"/>
      <c r="L161" s="110"/>
      <c r="M161" s="2"/>
      <c r="N161" s="60"/>
      <c r="O161" s="10"/>
      <c r="P161" s="10"/>
      <c r="Q161" s="10"/>
      <c r="R161" s="10"/>
    </row>
    <row r="162" spans="1:18" x14ac:dyDescent="0.2">
      <c r="A162" s="1"/>
      <c r="B162" s="51"/>
      <c r="C162" s="6"/>
      <c r="D162" s="6"/>
      <c r="E162" s="6"/>
      <c r="F162" s="14"/>
      <c r="G162" s="8"/>
      <c r="H162" s="6"/>
      <c r="I162" s="6"/>
      <c r="J162" s="6"/>
      <c r="K162" s="157"/>
      <c r="L162" s="110"/>
      <c r="M162" s="2"/>
      <c r="N162" s="60"/>
      <c r="O162" s="10"/>
      <c r="P162" s="10"/>
      <c r="Q162" s="10"/>
      <c r="R162" s="10"/>
    </row>
    <row r="163" spans="1:18" x14ac:dyDescent="0.2">
      <c r="A163" s="1"/>
      <c r="B163" s="49"/>
      <c r="C163" s="3"/>
      <c r="D163" s="3"/>
      <c r="E163" s="3"/>
      <c r="G163" s="4"/>
      <c r="H163" s="3"/>
      <c r="I163" s="3"/>
      <c r="J163" s="3"/>
      <c r="K163" s="207"/>
      <c r="L163" s="110"/>
      <c r="M163" s="2"/>
      <c r="N163" s="60"/>
      <c r="O163" s="10"/>
      <c r="P163" s="10"/>
      <c r="Q163" s="10"/>
      <c r="R163" s="10"/>
    </row>
    <row r="164" spans="1:18" x14ac:dyDescent="0.2">
      <c r="A164" s="1"/>
      <c r="B164" s="51"/>
      <c r="C164" s="6"/>
      <c r="D164" s="6"/>
      <c r="E164" s="6"/>
      <c r="F164" s="14"/>
      <c r="G164" s="8"/>
      <c r="H164" s="6"/>
      <c r="I164" s="6"/>
      <c r="J164" s="6"/>
      <c r="K164" s="43"/>
      <c r="L164" s="110"/>
      <c r="M164" s="2"/>
      <c r="N164" s="60"/>
      <c r="O164" s="10"/>
      <c r="P164" s="10"/>
      <c r="Q164" s="10"/>
      <c r="R164" s="10"/>
    </row>
    <row r="165" spans="1:18" x14ac:dyDescent="0.2">
      <c r="A165" s="1"/>
      <c r="B165" s="49"/>
      <c r="C165" s="3"/>
      <c r="D165" s="3"/>
      <c r="E165" s="3"/>
      <c r="G165" s="4"/>
      <c r="H165" s="3"/>
      <c r="I165" s="3"/>
      <c r="J165" s="3"/>
      <c r="K165" s="44"/>
      <c r="L165" s="110"/>
      <c r="M165" s="2"/>
      <c r="N165" s="60"/>
      <c r="O165" s="10"/>
      <c r="P165" s="10"/>
      <c r="Q165" s="10"/>
      <c r="R165" s="10"/>
    </row>
    <row r="166" spans="1:18" x14ac:dyDescent="0.2">
      <c r="A166" s="1"/>
      <c r="B166" s="55"/>
      <c r="C166" s="7"/>
      <c r="D166" s="7"/>
      <c r="E166" s="7"/>
      <c r="F166" s="32"/>
      <c r="G166" s="18"/>
      <c r="H166" s="7"/>
      <c r="I166" s="7"/>
      <c r="J166" s="7"/>
      <c r="K166" s="157"/>
      <c r="L166" s="110"/>
      <c r="M166" s="2"/>
      <c r="N166" s="60"/>
      <c r="O166" s="10"/>
      <c r="P166" s="10"/>
      <c r="Q166" s="10"/>
      <c r="R166" s="10"/>
    </row>
    <row r="167" spans="1:18" x14ac:dyDescent="0.2">
      <c r="A167" s="1"/>
      <c r="B167" s="51"/>
      <c r="C167" s="6"/>
      <c r="D167" s="6"/>
      <c r="E167" s="6"/>
      <c r="F167" s="14"/>
      <c r="G167" s="8"/>
      <c r="H167" s="6"/>
      <c r="I167" s="6"/>
      <c r="J167" s="6"/>
      <c r="K167" s="157"/>
      <c r="L167" s="110"/>
      <c r="M167" s="2"/>
      <c r="N167" s="60"/>
      <c r="O167" s="10"/>
      <c r="P167" s="10"/>
      <c r="Q167" s="10"/>
      <c r="R167" s="10"/>
    </row>
    <row r="168" spans="1:18" x14ac:dyDescent="0.2">
      <c r="A168" s="1"/>
      <c r="B168" s="48"/>
      <c r="C168" s="5"/>
      <c r="D168" s="5"/>
      <c r="E168" s="5"/>
      <c r="F168" s="11"/>
      <c r="G168" s="9"/>
      <c r="H168" s="5"/>
      <c r="I168" s="5"/>
      <c r="J168" s="5"/>
      <c r="K168" s="157"/>
      <c r="L168" s="110"/>
      <c r="M168" s="2"/>
      <c r="N168" s="60"/>
      <c r="O168" s="10"/>
      <c r="P168" s="10"/>
      <c r="Q168" s="10"/>
      <c r="R168" s="10"/>
    </row>
    <row r="169" spans="1:18" x14ac:dyDescent="0.2">
      <c r="A169" s="1"/>
      <c r="B169" s="51"/>
      <c r="C169" s="6"/>
      <c r="D169" s="6"/>
      <c r="E169" s="6"/>
      <c r="F169" s="14"/>
      <c r="G169" s="8"/>
      <c r="H169" s="6"/>
      <c r="I169" s="6"/>
      <c r="J169" s="6"/>
      <c r="K169" s="157"/>
      <c r="L169" s="110"/>
      <c r="M169" s="2"/>
      <c r="N169" s="60"/>
      <c r="O169" s="10"/>
      <c r="P169" s="10"/>
      <c r="Q169" s="10"/>
      <c r="R169" s="10"/>
    </row>
    <row r="170" spans="1:18" x14ac:dyDescent="0.2">
      <c r="A170" s="1"/>
      <c r="B170" s="49"/>
      <c r="C170" s="3"/>
      <c r="D170" s="3"/>
      <c r="E170" s="3"/>
      <c r="G170" s="4"/>
      <c r="H170" s="3"/>
      <c r="I170" s="3"/>
      <c r="J170" s="3"/>
      <c r="K170" s="157"/>
      <c r="L170" s="110"/>
      <c r="M170" s="2"/>
      <c r="N170" s="60"/>
      <c r="O170" s="10"/>
      <c r="P170" s="10"/>
      <c r="Q170" s="10"/>
      <c r="R170" s="10"/>
    </row>
    <row r="171" spans="1:18" x14ac:dyDescent="0.2">
      <c r="A171" s="1"/>
      <c r="B171" s="51"/>
      <c r="C171" s="6"/>
      <c r="D171" s="6"/>
      <c r="E171" s="6"/>
      <c r="F171" s="14"/>
      <c r="G171" s="8"/>
      <c r="H171" s="6"/>
      <c r="I171" s="6"/>
      <c r="J171" s="6"/>
      <c r="K171" s="157"/>
      <c r="L171" s="110"/>
      <c r="M171" s="2"/>
      <c r="N171" s="60"/>
      <c r="O171" s="10"/>
      <c r="P171" s="10"/>
      <c r="Q171" s="10"/>
      <c r="R171" s="10"/>
    </row>
    <row r="172" spans="1:18" x14ac:dyDescent="0.2">
      <c r="A172" s="1"/>
      <c r="B172" s="49"/>
      <c r="C172" s="3"/>
      <c r="D172" s="3"/>
      <c r="E172" s="3"/>
      <c r="G172" s="4"/>
      <c r="H172" s="3"/>
      <c r="I172" s="3"/>
      <c r="J172" s="3"/>
      <c r="K172" s="157"/>
      <c r="L172" s="110"/>
      <c r="M172" s="2"/>
      <c r="N172" s="60"/>
      <c r="O172" s="10"/>
      <c r="P172" s="10"/>
      <c r="Q172" s="10"/>
      <c r="R172" s="10"/>
    </row>
    <row r="173" spans="1:18" x14ac:dyDescent="0.2">
      <c r="A173" s="1"/>
      <c r="B173" s="51"/>
      <c r="C173" s="6"/>
      <c r="D173" s="6"/>
      <c r="E173" s="6"/>
      <c r="F173" s="14"/>
      <c r="G173" s="8"/>
      <c r="H173" s="6"/>
      <c r="I173" s="6"/>
      <c r="J173" s="6"/>
      <c r="K173" s="157"/>
      <c r="L173" s="110"/>
      <c r="M173" s="2"/>
      <c r="N173" s="60"/>
      <c r="O173" s="10"/>
      <c r="P173" s="10"/>
      <c r="Q173" s="10"/>
      <c r="R173" s="10"/>
    </row>
    <row r="174" spans="1:18" ht="13.5" thickBot="1" x14ac:dyDescent="0.25">
      <c r="A174" s="1"/>
      <c r="B174" s="50"/>
      <c r="C174" s="41"/>
      <c r="D174" s="41"/>
      <c r="E174" s="41"/>
      <c r="F174" s="54"/>
      <c r="G174" s="56"/>
      <c r="H174" s="41"/>
      <c r="I174" s="41"/>
      <c r="J174" s="41"/>
      <c r="K174" s="89"/>
      <c r="L174" s="55"/>
      <c r="M174" s="571"/>
      <c r="N174" s="60"/>
      <c r="O174" s="10"/>
      <c r="P174" s="10"/>
      <c r="Q174" s="10"/>
      <c r="R174" s="10"/>
    </row>
    <row r="175" spans="1:18" x14ac:dyDescent="0.2">
      <c r="M175" s="60"/>
      <c r="N175" s="60"/>
      <c r="O175" s="10"/>
      <c r="P175" s="10"/>
      <c r="Q175" s="10"/>
      <c r="R175" s="10"/>
    </row>
    <row r="176" spans="1:18" x14ac:dyDescent="0.2">
      <c r="M176" s="10"/>
      <c r="N176" s="60"/>
      <c r="O176" s="10"/>
      <c r="P176" s="10"/>
      <c r="Q176" s="10"/>
      <c r="R176" s="10"/>
    </row>
    <row r="177" spans="3:18" x14ac:dyDescent="0.2">
      <c r="M177" s="10"/>
      <c r="N177" s="60"/>
      <c r="O177" s="10"/>
      <c r="P177" s="10"/>
      <c r="Q177" s="10"/>
      <c r="R177" s="10"/>
    </row>
    <row r="178" spans="3:18" x14ac:dyDescent="0.2">
      <c r="M178" s="10"/>
      <c r="N178" s="60"/>
      <c r="O178" s="10"/>
      <c r="P178" s="10"/>
      <c r="Q178" s="10"/>
      <c r="R178" s="10"/>
    </row>
    <row r="179" spans="3:18" x14ac:dyDescent="0.2">
      <c r="M179" s="10"/>
      <c r="N179" s="10"/>
    </row>
    <row r="181" spans="3:18" x14ac:dyDescent="0.2">
      <c r="D181" s="34"/>
      <c r="E181" s="34"/>
      <c r="F181" s="34"/>
      <c r="G181" s="34"/>
    </row>
    <row r="182" spans="3:18" x14ac:dyDescent="0.2">
      <c r="C182" s="10"/>
      <c r="D182" s="60"/>
      <c r="E182" s="60"/>
      <c r="F182" s="60"/>
      <c r="G182" s="60"/>
      <c r="H182" s="10"/>
      <c r="I182" s="10"/>
      <c r="J182" s="10"/>
      <c r="K182" s="10"/>
    </row>
    <row r="183" spans="3:18" ht="15" x14ac:dyDescent="0.2">
      <c r="C183" s="10"/>
      <c r="D183" s="60"/>
      <c r="E183" s="111"/>
      <c r="F183" s="132"/>
      <c r="G183" s="60"/>
      <c r="H183" s="10"/>
      <c r="I183" s="10"/>
      <c r="J183" s="10"/>
      <c r="K183" s="10"/>
    </row>
    <row r="184" spans="3:18" ht="15" customHeight="1" x14ac:dyDescent="0.25">
      <c r="C184" s="10"/>
      <c r="D184" s="60"/>
      <c r="E184" s="67"/>
      <c r="F184" s="126"/>
      <c r="G184" s="60"/>
      <c r="H184" s="10"/>
      <c r="I184" s="10"/>
      <c r="J184" s="10"/>
      <c r="K184" s="10"/>
    </row>
    <row r="185" spans="3:18" x14ac:dyDescent="0.2">
      <c r="C185" s="10"/>
      <c r="D185" s="60"/>
      <c r="E185" s="133"/>
      <c r="F185" s="67"/>
      <c r="G185" s="60"/>
      <c r="H185" s="68"/>
      <c r="I185" s="10"/>
      <c r="J185" s="10"/>
      <c r="K185" s="10"/>
    </row>
    <row r="186" spans="3:18" x14ac:dyDescent="0.2">
      <c r="C186" s="10"/>
      <c r="D186" s="60"/>
      <c r="E186" s="127"/>
      <c r="F186" s="67"/>
      <c r="G186" s="60"/>
      <c r="H186" s="69"/>
      <c r="I186" s="10"/>
      <c r="J186" s="66"/>
      <c r="K186" s="71"/>
    </row>
    <row r="187" spans="3:18" x14ac:dyDescent="0.2">
      <c r="C187" s="10"/>
      <c r="D187" s="60"/>
      <c r="E187" s="127"/>
      <c r="F187" s="67"/>
      <c r="G187" s="60"/>
      <c r="H187" s="69"/>
      <c r="I187" s="10"/>
      <c r="J187" s="73"/>
      <c r="K187" s="71"/>
    </row>
    <row r="188" spans="3:18" x14ac:dyDescent="0.2">
      <c r="C188" s="10"/>
      <c r="D188" s="60"/>
      <c r="E188" s="127"/>
      <c r="F188" s="67"/>
      <c r="G188" s="60"/>
      <c r="H188" s="69"/>
      <c r="I188" s="10"/>
      <c r="J188" s="74"/>
      <c r="K188" s="66"/>
    </row>
    <row r="189" spans="3:18" x14ac:dyDescent="0.2">
      <c r="C189" s="10"/>
      <c r="D189" s="60"/>
      <c r="E189" s="127"/>
      <c r="F189" s="67"/>
      <c r="G189" s="60"/>
      <c r="H189" s="69"/>
      <c r="I189" s="10"/>
      <c r="J189" s="74"/>
      <c r="K189" s="66"/>
    </row>
    <row r="190" spans="3:18" x14ac:dyDescent="0.2">
      <c r="C190" s="10"/>
      <c r="D190" s="60"/>
      <c r="E190" s="127"/>
      <c r="F190" s="67"/>
      <c r="G190" s="60"/>
      <c r="H190" s="70"/>
      <c r="I190" s="10"/>
      <c r="J190" s="74"/>
      <c r="K190" s="74"/>
    </row>
    <row r="191" spans="3:18" x14ac:dyDescent="0.2">
      <c r="C191" s="10"/>
      <c r="D191" s="60"/>
      <c r="E191" s="127"/>
      <c r="F191" s="67"/>
      <c r="G191" s="60"/>
      <c r="H191" s="10"/>
      <c r="I191" s="10"/>
      <c r="J191" s="74"/>
      <c r="K191" s="74"/>
    </row>
    <row r="192" spans="3:18" x14ac:dyDescent="0.2">
      <c r="C192" s="10"/>
      <c r="D192" s="60"/>
      <c r="E192" s="128"/>
      <c r="F192" s="67"/>
      <c r="G192" s="60"/>
      <c r="H192" s="10"/>
      <c r="I192" s="10"/>
      <c r="J192" s="66"/>
      <c r="K192" s="74"/>
    </row>
    <row r="193" spans="3:11" x14ac:dyDescent="0.2">
      <c r="C193" s="10"/>
      <c r="D193" s="60"/>
      <c r="E193" s="127"/>
      <c r="F193" s="67"/>
      <c r="G193" s="60"/>
      <c r="H193" s="10"/>
      <c r="I193" s="10"/>
      <c r="J193" s="66"/>
      <c r="K193" s="66"/>
    </row>
    <row r="194" spans="3:11" x14ac:dyDescent="0.2">
      <c r="C194" s="10"/>
      <c r="D194" s="60"/>
      <c r="E194" s="127"/>
      <c r="F194" s="67"/>
      <c r="G194" s="60"/>
      <c r="H194" s="10"/>
      <c r="I194" s="10"/>
      <c r="J194" s="66"/>
      <c r="K194" s="75"/>
    </row>
    <row r="195" spans="3:11" x14ac:dyDescent="0.2">
      <c r="C195" s="60"/>
      <c r="D195" s="60"/>
      <c r="E195" s="127"/>
      <c r="F195" s="67"/>
      <c r="G195" s="60"/>
      <c r="H195" s="10"/>
      <c r="I195" s="10"/>
      <c r="J195" s="75"/>
      <c r="K195" s="75"/>
    </row>
    <row r="196" spans="3:11" x14ac:dyDescent="0.2">
      <c r="C196" s="60"/>
      <c r="D196" s="60"/>
      <c r="E196" s="127"/>
      <c r="F196" s="67"/>
      <c r="G196" s="60"/>
      <c r="H196" s="10"/>
      <c r="I196" s="10"/>
      <c r="J196" s="74"/>
      <c r="K196" s="74"/>
    </row>
    <row r="197" spans="3:11" x14ac:dyDescent="0.2">
      <c r="C197" s="60"/>
      <c r="D197" s="60"/>
      <c r="E197" s="127"/>
      <c r="F197" s="67"/>
      <c r="G197" s="60"/>
      <c r="H197" s="10"/>
      <c r="I197" s="10"/>
      <c r="J197" s="66"/>
      <c r="K197" s="66"/>
    </row>
    <row r="198" spans="3:11" x14ac:dyDescent="0.2">
      <c r="C198" s="60"/>
      <c r="D198" s="60"/>
      <c r="E198" s="127"/>
      <c r="F198" s="67"/>
      <c r="G198" s="60"/>
      <c r="H198" s="10"/>
      <c r="I198" s="10"/>
      <c r="J198" s="74"/>
      <c r="K198" s="66"/>
    </row>
    <row r="199" spans="3:11" x14ac:dyDescent="0.2">
      <c r="C199" s="60"/>
      <c r="D199" s="60"/>
      <c r="E199" s="127"/>
      <c r="F199" s="67"/>
      <c r="G199" s="60"/>
      <c r="H199" s="10"/>
      <c r="I199" s="10"/>
      <c r="J199" s="66"/>
      <c r="K199" s="66"/>
    </row>
    <row r="200" spans="3:11" x14ac:dyDescent="0.2">
      <c r="C200" s="60"/>
      <c r="D200" s="60"/>
      <c r="E200" s="127"/>
      <c r="F200" s="67"/>
      <c r="G200" s="60"/>
      <c r="H200" s="10"/>
      <c r="I200" s="10"/>
      <c r="J200" s="10"/>
      <c r="K200" s="10"/>
    </row>
    <row r="201" spans="3:11" x14ac:dyDescent="0.2">
      <c r="C201" s="60"/>
      <c r="D201" s="60"/>
      <c r="E201" s="127"/>
      <c r="F201" s="67"/>
      <c r="G201" s="60"/>
      <c r="H201" s="10"/>
      <c r="I201" s="10"/>
      <c r="J201" s="10"/>
      <c r="K201" s="10"/>
    </row>
    <row r="202" spans="3:11" x14ac:dyDescent="0.2">
      <c r="C202" s="60"/>
      <c r="D202" s="60"/>
      <c r="E202" s="127"/>
      <c r="F202" s="67"/>
      <c r="G202" s="60"/>
      <c r="H202" s="10"/>
      <c r="I202" s="10"/>
      <c r="J202" s="10"/>
      <c r="K202" s="10"/>
    </row>
    <row r="203" spans="3:11" x14ac:dyDescent="0.2">
      <c r="C203" s="60"/>
      <c r="D203" s="60"/>
      <c r="E203" s="127"/>
      <c r="F203" s="67"/>
      <c r="G203" s="60"/>
      <c r="H203" s="10"/>
      <c r="I203" s="10"/>
      <c r="J203" s="10"/>
      <c r="K203" s="10"/>
    </row>
    <row r="204" spans="3:11" x14ac:dyDescent="0.2">
      <c r="C204" s="60"/>
      <c r="D204" s="60"/>
      <c r="E204" s="60"/>
      <c r="F204" s="67"/>
      <c r="G204" s="60"/>
      <c r="H204" s="10"/>
      <c r="I204" s="10"/>
      <c r="J204" s="10"/>
      <c r="K204" s="10"/>
    </row>
    <row r="205" spans="3:11" x14ac:dyDescent="0.2">
      <c r="C205" s="60"/>
      <c r="D205" s="60"/>
      <c r="E205" s="60"/>
      <c r="F205" s="60"/>
      <c r="G205" s="60"/>
      <c r="H205" s="10"/>
      <c r="I205" s="10"/>
      <c r="J205" s="10"/>
      <c r="K205" s="10"/>
    </row>
    <row r="206" spans="3:11" x14ac:dyDescent="0.2">
      <c r="C206" s="60"/>
      <c r="D206" s="60"/>
      <c r="E206" s="60"/>
      <c r="F206" s="60"/>
      <c r="G206" s="60"/>
      <c r="H206" s="10"/>
      <c r="I206" s="10"/>
      <c r="J206" s="10"/>
      <c r="K206" s="10"/>
    </row>
    <row r="207" spans="3:11" x14ac:dyDescent="0.2">
      <c r="C207" s="60"/>
      <c r="D207" s="60"/>
      <c r="E207" s="129"/>
      <c r="F207" s="129"/>
      <c r="G207" s="60"/>
      <c r="H207" s="10"/>
      <c r="I207" s="10"/>
      <c r="J207" s="10"/>
      <c r="K207" s="10"/>
    </row>
    <row r="208" spans="3:11" x14ac:dyDescent="0.2">
      <c r="C208" s="60"/>
      <c r="D208" s="60"/>
      <c r="E208" s="129"/>
      <c r="F208" s="129"/>
      <c r="G208" s="60"/>
      <c r="H208" s="10"/>
      <c r="I208" s="10"/>
      <c r="J208" s="10"/>
      <c r="K208" s="10"/>
    </row>
    <row r="209" spans="3:11" x14ac:dyDescent="0.2">
      <c r="C209" s="60"/>
      <c r="D209" s="60"/>
      <c r="E209" s="129"/>
      <c r="F209" s="129"/>
      <c r="G209" s="60"/>
      <c r="H209" s="10"/>
      <c r="I209" s="10"/>
      <c r="J209" s="10"/>
      <c r="K209" s="10"/>
    </row>
    <row r="210" spans="3:11" x14ac:dyDescent="0.2">
      <c r="C210" s="60"/>
      <c r="D210" s="60"/>
      <c r="E210" s="129"/>
      <c r="F210" s="129"/>
      <c r="G210" s="60"/>
      <c r="H210" s="10"/>
      <c r="I210" s="10"/>
      <c r="J210" s="10"/>
      <c r="K210" s="10"/>
    </row>
    <row r="211" spans="3:11" x14ac:dyDescent="0.2">
      <c r="C211" s="60"/>
      <c r="D211" s="60"/>
      <c r="E211" s="129"/>
      <c r="F211" s="130"/>
      <c r="G211" s="60"/>
      <c r="H211" s="10"/>
      <c r="I211" s="10"/>
      <c r="J211" s="10"/>
      <c r="K211" s="10"/>
    </row>
    <row r="212" spans="3:11" x14ac:dyDescent="0.2">
      <c r="C212" s="60"/>
      <c r="D212" s="60"/>
      <c r="E212" s="130"/>
      <c r="F212" s="130"/>
      <c r="G212" s="60"/>
      <c r="H212" s="10"/>
      <c r="I212" s="10"/>
      <c r="J212" s="10"/>
      <c r="K212" s="10"/>
    </row>
    <row r="213" spans="3:11" x14ac:dyDescent="0.2">
      <c r="C213" s="60"/>
      <c r="D213" s="60"/>
      <c r="E213" s="129"/>
      <c r="F213" s="129"/>
      <c r="G213" s="60"/>
      <c r="H213" s="10"/>
      <c r="I213" s="10"/>
      <c r="J213" s="10"/>
      <c r="K213" s="10"/>
    </row>
    <row r="214" spans="3:11" x14ac:dyDescent="0.2">
      <c r="C214" s="60"/>
      <c r="D214" s="60"/>
      <c r="E214" s="129"/>
      <c r="F214" s="129"/>
      <c r="G214" s="60"/>
      <c r="H214" s="10"/>
      <c r="I214" s="10"/>
      <c r="J214" s="10"/>
      <c r="K214" s="10"/>
    </row>
    <row r="215" spans="3:11" x14ac:dyDescent="0.2">
      <c r="C215" s="60"/>
      <c r="D215" s="60"/>
      <c r="E215" s="129"/>
      <c r="F215" s="131"/>
      <c r="G215" s="60"/>
      <c r="H215" s="10"/>
      <c r="I215" s="10"/>
      <c r="J215" s="10"/>
      <c r="K215" s="10"/>
    </row>
    <row r="216" spans="3:11" x14ac:dyDescent="0.2">
      <c r="C216" s="60"/>
      <c r="D216" s="60"/>
      <c r="E216" s="129"/>
      <c r="F216" s="129"/>
      <c r="G216" s="60"/>
      <c r="H216" s="10"/>
      <c r="I216" s="10"/>
      <c r="J216" s="10"/>
      <c r="K216" s="10"/>
    </row>
    <row r="217" spans="3:11" x14ac:dyDescent="0.2">
      <c r="C217" s="60"/>
      <c r="D217" s="60"/>
      <c r="E217" s="129"/>
      <c r="F217" s="129"/>
      <c r="G217" s="60"/>
      <c r="H217" s="10"/>
      <c r="I217" s="10"/>
      <c r="J217" s="10"/>
      <c r="K217" s="10"/>
    </row>
    <row r="218" spans="3:11" x14ac:dyDescent="0.2">
      <c r="C218" s="60"/>
      <c r="D218" s="60"/>
      <c r="E218" s="129"/>
      <c r="F218" s="129"/>
      <c r="G218" s="60"/>
      <c r="H218" s="10"/>
      <c r="I218" s="10"/>
      <c r="J218" s="10"/>
      <c r="K218" s="10"/>
    </row>
    <row r="219" spans="3:11" x14ac:dyDescent="0.2">
      <c r="C219" s="34"/>
      <c r="D219" s="60"/>
      <c r="E219" s="129"/>
      <c r="F219" s="129"/>
      <c r="G219" s="60"/>
      <c r="H219" s="10"/>
    </row>
    <row r="220" spans="3:11" x14ac:dyDescent="0.2">
      <c r="C220" s="34"/>
      <c r="D220" s="60"/>
      <c r="E220" s="129"/>
      <c r="F220" s="129"/>
      <c r="G220" s="60"/>
      <c r="H220" s="10"/>
    </row>
    <row r="221" spans="3:11" x14ac:dyDescent="0.2">
      <c r="C221" s="34"/>
      <c r="D221" s="60"/>
      <c r="E221" s="129"/>
      <c r="F221" s="129"/>
      <c r="G221" s="60"/>
      <c r="H221" s="10"/>
    </row>
    <row r="222" spans="3:11" x14ac:dyDescent="0.2">
      <c r="C222" s="34"/>
      <c r="D222" s="60"/>
      <c r="E222" s="129"/>
      <c r="F222" s="129"/>
      <c r="G222" s="60"/>
      <c r="H222" s="10"/>
    </row>
    <row r="223" spans="3:11" x14ac:dyDescent="0.2">
      <c r="C223" s="34"/>
      <c r="D223" s="60"/>
      <c r="E223" s="129"/>
      <c r="F223" s="129"/>
      <c r="G223" s="60"/>
      <c r="H223" s="10"/>
    </row>
    <row r="224" spans="3:11" x14ac:dyDescent="0.2">
      <c r="C224" s="34"/>
      <c r="D224" s="60"/>
      <c r="E224" s="60"/>
      <c r="F224" s="60"/>
      <c r="G224" s="60"/>
      <c r="H224" s="10"/>
    </row>
    <row r="225" spans="4:8" x14ac:dyDescent="0.2">
      <c r="D225" s="10"/>
      <c r="E225" s="10"/>
      <c r="F225" s="10"/>
      <c r="G225" s="10"/>
      <c r="H225" s="10"/>
    </row>
    <row r="226" spans="4:8" x14ac:dyDescent="0.2">
      <c r="D226" s="10"/>
      <c r="E226" s="10"/>
      <c r="F226" s="10"/>
      <c r="G226" s="10"/>
      <c r="H226" s="10"/>
    </row>
  </sheetData>
  <mergeCells count="77">
    <mergeCell ref="B131:C131"/>
    <mergeCell ref="E131:K131"/>
    <mergeCell ref="B132:C132"/>
    <mergeCell ref="E132:K132"/>
    <mergeCell ref="B1:K1"/>
    <mergeCell ref="B2:K2"/>
    <mergeCell ref="B3:L3"/>
    <mergeCell ref="B130:C130"/>
    <mergeCell ref="E130:K130"/>
    <mergeCell ref="B138:C138"/>
    <mergeCell ref="E138:J138"/>
    <mergeCell ref="B140:C140"/>
    <mergeCell ref="E140:J140"/>
    <mergeCell ref="B141:C141"/>
    <mergeCell ref="E141:J141"/>
    <mergeCell ref="B142:C142"/>
    <mergeCell ref="E142:J142"/>
    <mergeCell ref="B144:C144"/>
    <mergeCell ref="E144:J144"/>
    <mergeCell ref="B137:C137"/>
    <mergeCell ref="E137:J137"/>
    <mergeCell ref="B143:C143"/>
    <mergeCell ref="E143:J143"/>
    <mergeCell ref="B117:C117"/>
    <mergeCell ref="E117:K117"/>
    <mergeCell ref="B127:C127"/>
    <mergeCell ref="E127:K127"/>
    <mergeCell ref="B123:C123"/>
    <mergeCell ref="E123:K123"/>
    <mergeCell ref="B122:C122"/>
    <mergeCell ref="E122:K122"/>
    <mergeCell ref="B139:C139"/>
    <mergeCell ref="E139:J139"/>
    <mergeCell ref="B129:C129"/>
    <mergeCell ref="E129:K129"/>
    <mergeCell ref="B136:C136"/>
    <mergeCell ref="E136:J136"/>
    <mergeCell ref="B121:C121"/>
    <mergeCell ref="E121:K121"/>
    <mergeCell ref="B128:C128"/>
    <mergeCell ref="E128:K128"/>
    <mergeCell ref="B125:C125"/>
    <mergeCell ref="E125:K125"/>
    <mergeCell ref="B126:C126"/>
    <mergeCell ref="E126:K126"/>
    <mergeCell ref="B124:C124"/>
    <mergeCell ref="E124:K124"/>
    <mergeCell ref="B119:C119"/>
    <mergeCell ref="E119:K119"/>
    <mergeCell ref="B120:C120"/>
    <mergeCell ref="E120:K120"/>
    <mergeCell ref="B114:C114"/>
    <mergeCell ref="E114:K114"/>
    <mergeCell ref="B115:C115"/>
    <mergeCell ref="E115:K115"/>
    <mergeCell ref="B118:C118"/>
    <mergeCell ref="E118:K118"/>
    <mergeCell ref="B116:C116"/>
    <mergeCell ref="E116:K116"/>
    <mergeCell ref="B111:C111"/>
    <mergeCell ref="E111:K111"/>
    <mergeCell ref="B112:C112"/>
    <mergeCell ref="E112:K112"/>
    <mergeCell ref="B113:C113"/>
    <mergeCell ref="E113:K113"/>
    <mergeCell ref="B105:C105"/>
    <mergeCell ref="E105:J105"/>
    <mergeCell ref="C30:D30"/>
    <mergeCell ref="E30:F30"/>
    <mergeCell ref="G30:H30"/>
    <mergeCell ref="C85:D85"/>
    <mergeCell ref="E85:F85"/>
    <mergeCell ref="G85:H85"/>
    <mergeCell ref="B103:C103"/>
    <mergeCell ref="E103:J103"/>
    <mergeCell ref="B104:C104"/>
    <mergeCell ref="E104:J104"/>
  </mergeCells>
  <phoneticPr fontId="20" type="noConversion"/>
  <hyperlinks>
    <hyperlink ref="I47" location="'КОМПЛЕКТУЮЩ_US800-1Х,2Х,3Х '!A1" display="Комплектующие к US800"/>
  </hyperlinks>
  <pageMargins left="0.59055118110236227" right="0.35433070866141736" top="0.59055118110236227" bottom="0.59055118110236227" header="0.39370078740157483" footer="0.51181102362204722"/>
  <pageSetup paperSize="9" scale="51" fitToHeight="2" orientation="portrait" horizontalDpi="1200" verticalDpi="1200" r:id="rId1"/>
  <headerFooter alignWithMargins="0"/>
  <rowBreaks count="1" manualBreakCount="1">
    <brk id="99" max="10" man="1"/>
  </rowBreaks>
  <ignoredErrors>
    <ignoredError sqref="D36:D38 F36:F38 H36:H37 H38" unlockedFormula="1"/>
    <ignoredError sqref="D8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Check Box 1">
              <controlPr defaultSize="0" autoFill="0" autoLine="0" autoPict="0" altText=" ">
                <anchor moveWithCells="1">
                  <from>
                    <xdr:col>2</xdr:col>
                    <xdr:colOff>9525</xdr:colOff>
                    <xdr:row>38</xdr:row>
                    <xdr:rowOff>9525</xdr:rowOff>
                  </from>
                  <to>
                    <xdr:col>3</xdr:col>
                    <xdr:colOff>676275</xdr:colOff>
                    <xdr:row>39</xdr:row>
                    <xdr:rowOff>19050</xdr:rowOff>
                  </to>
                </anchor>
              </controlPr>
            </control>
          </mc:Choice>
        </mc:AlternateContent>
        <mc:AlternateContent xmlns:mc="http://schemas.openxmlformats.org/markup-compatibility/2006">
          <mc:Choice Requires="x14">
            <control shapeId="111618" r:id="rId5" name="Drop Down 2">
              <controlPr locked="0" defaultSize="0" autoLine="0" autoPict="0">
                <anchor moveWithCells="1">
                  <from>
                    <xdr:col>2</xdr:col>
                    <xdr:colOff>28575</xdr:colOff>
                    <xdr:row>32</xdr:row>
                    <xdr:rowOff>9525</xdr:rowOff>
                  </from>
                  <to>
                    <xdr:col>3</xdr:col>
                    <xdr:colOff>47625</xdr:colOff>
                    <xdr:row>33</xdr:row>
                    <xdr:rowOff>38100</xdr:rowOff>
                  </to>
                </anchor>
              </controlPr>
            </control>
          </mc:Choice>
        </mc:AlternateContent>
        <mc:AlternateContent xmlns:mc="http://schemas.openxmlformats.org/markup-compatibility/2006">
          <mc:Choice Requires="x14">
            <control shapeId="111619" r:id="rId6" name="Drop Down 3">
              <controlPr locked="0" defaultSize="0" autoLine="0" autoPict="0">
                <anchor moveWithCells="1">
                  <from>
                    <xdr:col>4</xdr:col>
                    <xdr:colOff>28575</xdr:colOff>
                    <xdr:row>32</xdr:row>
                    <xdr:rowOff>9525</xdr:rowOff>
                  </from>
                  <to>
                    <xdr:col>5</xdr:col>
                    <xdr:colOff>47625</xdr:colOff>
                    <xdr:row>33</xdr:row>
                    <xdr:rowOff>38100</xdr:rowOff>
                  </to>
                </anchor>
              </controlPr>
            </control>
          </mc:Choice>
        </mc:AlternateContent>
        <mc:AlternateContent xmlns:mc="http://schemas.openxmlformats.org/markup-compatibility/2006">
          <mc:Choice Requires="x14">
            <control shapeId="111620" r:id="rId7" name="Drop Down 4">
              <controlPr locked="0" defaultSize="0" autoLine="0" autoPict="0">
                <anchor moveWithCells="1">
                  <from>
                    <xdr:col>6</xdr:col>
                    <xdr:colOff>28575</xdr:colOff>
                    <xdr:row>32</xdr:row>
                    <xdr:rowOff>19050</xdr:rowOff>
                  </from>
                  <to>
                    <xdr:col>7</xdr:col>
                    <xdr:colOff>47625</xdr:colOff>
                    <xdr:row>33</xdr:row>
                    <xdr:rowOff>47625</xdr:rowOff>
                  </to>
                </anchor>
              </controlPr>
            </control>
          </mc:Choice>
        </mc:AlternateContent>
        <mc:AlternateContent xmlns:mc="http://schemas.openxmlformats.org/markup-compatibility/2006">
          <mc:Choice Requires="x14">
            <control shapeId="111621" r:id="rId8" name="Check Box 5">
              <controlPr locked="0" defaultSize="0" autoFill="0" autoLine="0" autoPict="0" altText="Опция &quot;ШК&quot;">
                <anchor moveWithCells="1">
                  <from>
                    <xdr:col>4</xdr:col>
                    <xdr:colOff>0</xdr:colOff>
                    <xdr:row>38</xdr:row>
                    <xdr:rowOff>0</xdr:rowOff>
                  </from>
                  <to>
                    <xdr:col>5</xdr:col>
                    <xdr:colOff>800100</xdr:colOff>
                    <xdr:row>39</xdr:row>
                    <xdr:rowOff>28575</xdr:rowOff>
                  </to>
                </anchor>
              </controlPr>
            </control>
          </mc:Choice>
        </mc:AlternateContent>
        <mc:AlternateContent xmlns:mc="http://schemas.openxmlformats.org/markup-compatibility/2006">
          <mc:Choice Requires="x14">
            <control shapeId="111622" r:id="rId9" name="Check Box 6">
              <controlPr locked="0" defaultSize="0" autoFill="0" autoLine="0" autoPict="0" altText="Опция &quot;ШК&quot;">
                <anchor moveWithCells="1">
                  <from>
                    <xdr:col>6</xdr:col>
                    <xdr:colOff>9525</xdr:colOff>
                    <xdr:row>38</xdr:row>
                    <xdr:rowOff>0</xdr:rowOff>
                  </from>
                  <to>
                    <xdr:col>7</xdr:col>
                    <xdr:colOff>723900</xdr:colOff>
                    <xdr:row>39</xdr:row>
                    <xdr:rowOff>28575</xdr:rowOff>
                  </to>
                </anchor>
              </controlPr>
            </control>
          </mc:Choice>
        </mc:AlternateContent>
        <mc:AlternateContent xmlns:mc="http://schemas.openxmlformats.org/markup-compatibility/2006">
          <mc:Choice Requires="x14">
            <control shapeId="111695" r:id="rId10" name="Check Box 79">
              <controlPr defaultSize="0" autoFill="0" autoLine="0" autoPict="0">
                <anchor moveWithCells="1">
                  <from>
                    <xdr:col>2</xdr:col>
                    <xdr:colOff>9525</xdr:colOff>
                    <xdr:row>36</xdr:row>
                    <xdr:rowOff>0</xdr:rowOff>
                  </from>
                  <to>
                    <xdr:col>3</xdr:col>
                    <xdr:colOff>933450</xdr:colOff>
                    <xdr:row>37</xdr:row>
                    <xdr:rowOff>19050</xdr:rowOff>
                  </to>
                </anchor>
              </controlPr>
            </control>
          </mc:Choice>
        </mc:AlternateContent>
        <mc:AlternateContent xmlns:mc="http://schemas.openxmlformats.org/markup-compatibility/2006">
          <mc:Choice Requires="x14">
            <control shapeId="111697" r:id="rId11" name="Check Box 81">
              <controlPr locked="0" defaultSize="0" autoFill="0" autoLine="0" autoPict="0">
                <anchor moveWithCells="1">
                  <from>
                    <xdr:col>2</xdr:col>
                    <xdr:colOff>9525</xdr:colOff>
                    <xdr:row>37</xdr:row>
                    <xdr:rowOff>0</xdr:rowOff>
                  </from>
                  <to>
                    <xdr:col>3</xdr:col>
                    <xdr:colOff>228600</xdr:colOff>
                    <xdr:row>38</xdr:row>
                    <xdr:rowOff>28575</xdr:rowOff>
                  </to>
                </anchor>
              </controlPr>
            </control>
          </mc:Choice>
        </mc:AlternateContent>
        <mc:AlternateContent xmlns:mc="http://schemas.openxmlformats.org/markup-compatibility/2006">
          <mc:Choice Requires="x14">
            <control shapeId="111983" r:id="rId12" name="Check Box 367">
              <controlPr defaultSize="0" autoFill="0" autoLine="0" autoPict="0">
                <anchor moveWithCells="1">
                  <from>
                    <xdr:col>4</xdr:col>
                    <xdr:colOff>0</xdr:colOff>
                    <xdr:row>35</xdr:row>
                    <xdr:rowOff>180975</xdr:rowOff>
                  </from>
                  <to>
                    <xdr:col>5</xdr:col>
                    <xdr:colOff>809625</xdr:colOff>
                    <xdr:row>37</xdr:row>
                    <xdr:rowOff>47625</xdr:rowOff>
                  </to>
                </anchor>
              </controlPr>
            </control>
          </mc:Choice>
        </mc:AlternateContent>
        <mc:AlternateContent xmlns:mc="http://schemas.openxmlformats.org/markup-compatibility/2006">
          <mc:Choice Requires="x14">
            <control shapeId="111984" r:id="rId13" name="Check Box 368">
              <controlPr defaultSize="0" autoFill="0" autoLine="0" autoPict="0">
                <anchor moveWithCells="1">
                  <from>
                    <xdr:col>6</xdr:col>
                    <xdr:colOff>9525</xdr:colOff>
                    <xdr:row>35</xdr:row>
                    <xdr:rowOff>180975</xdr:rowOff>
                  </from>
                  <to>
                    <xdr:col>7</xdr:col>
                    <xdr:colOff>885825</xdr:colOff>
                    <xdr:row>37</xdr:row>
                    <xdr:rowOff>57150</xdr:rowOff>
                  </to>
                </anchor>
              </controlPr>
            </control>
          </mc:Choice>
        </mc:AlternateContent>
        <mc:AlternateContent xmlns:mc="http://schemas.openxmlformats.org/markup-compatibility/2006">
          <mc:Choice Requires="x14">
            <control shapeId="111985" r:id="rId14" name="Check Box 369">
              <controlPr defaultSize="0" autoFill="0" autoLine="0" autoPict="0">
                <anchor moveWithCells="1">
                  <from>
                    <xdr:col>4</xdr:col>
                    <xdr:colOff>0</xdr:colOff>
                    <xdr:row>37</xdr:row>
                    <xdr:rowOff>9525</xdr:rowOff>
                  </from>
                  <to>
                    <xdr:col>5</xdr:col>
                    <xdr:colOff>762000</xdr:colOff>
                    <xdr:row>38</xdr:row>
                    <xdr:rowOff>19050</xdr:rowOff>
                  </to>
                </anchor>
              </controlPr>
            </control>
          </mc:Choice>
        </mc:AlternateContent>
        <mc:AlternateContent xmlns:mc="http://schemas.openxmlformats.org/markup-compatibility/2006">
          <mc:Choice Requires="x14">
            <control shapeId="111986" r:id="rId15" name="Check Box 370">
              <controlPr defaultSize="0" autoFill="0" autoLine="0" autoPict="0">
                <anchor moveWithCells="1">
                  <from>
                    <xdr:col>6</xdr:col>
                    <xdr:colOff>9525</xdr:colOff>
                    <xdr:row>37</xdr:row>
                    <xdr:rowOff>0</xdr:rowOff>
                  </from>
                  <to>
                    <xdr:col>7</xdr:col>
                    <xdr:colOff>866775</xdr:colOff>
                    <xdr:row>38</xdr:row>
                    <xdr:rowOff>28575</xdr:rowOff>
                  </to>
                </anchor>
              </controlPr>
            </control>
          </mc:Choice>
        </mc:AlternateContent>
        <mc:AlternateContent xmlns:mc="http://schemas.openxmlformats.org/markup-compatibility/2006">
          <mc:Choice Requires="x14">
            <control shapeId="112486" r:id="rId16" name="Check Box 870">
              <controlPr defaultSize="0" autoFill="0" autoLine="0" autoPict="0">
                <anchor moveWithCells="1">
                  <from>
                    <xdr:col>8</xdr:col>
                    <xdr:colOff>28575</xdr:colOff>
                    <xdr:row>47</xdr:row>
                    <xdr:rowOff>104775</xdr:rowOff>
                  </from>
                  <to>
                    <xdr:col>9</xdr:col>
                    <xdr:colOff>952500</xdr:colOff>
                    <xdr:row>48</xdr:row>
                    <xdr:rowOff>190500</xdr:rowOff>
                  </to>
                </anchor>
              </controlPr>
            </control>
          </mc:Choice>
        </mc:AlternateContent>
        <mc:AlternateContent xmlns:mc="http://schemas.openxmlformats.org/markup-compatibility/2006">
          <mc:Choice Requires="x14">
            <control shapeId="131628" r:id="rId17" name="Check Box 4652">
              <controlPr defaultSize="0" autoFill="0" autoLine="0" autoPict="0">
                <anchor moveWithCells="1">
                  <from>
                    <xdr:col>2</xdr:col>
                    <xdr:colOff>9525</xdr:colOff>
                    <xdr:row>35</xdr:row>
                    <xdr:rowOff>0</xdr:rowOff>
                  </from>
                  <to>
                    <xdr:col>3</xdr:col>
                    <xdr:colOff>990600</xdr:colOff>
                    <xdr:row>36</xdr:row>
                    <xdr:rowOff>38100</xdr:rowOff>
                  </to>
                </anchor>
              </controlPr>
            </control>
          </mc:Choice>
        </mc:AlternateContent>
        <mc:AlternateContent xmlns:mc="http://schemas.openxmlformats.org/markup-compatibility/2006">
          <mc:Choice Requires="x14">
            <control shapeId="131842" r:id="rId18" name="Check Box 4866">
              <controlPr defaultSize="0" autoFill="0" autoLine="0" autoPict="0">
                <anchor moveWithCells="1">
                  <from>
                    <xdr:col>4</xdr:col>
                    <xdr:colOff>0</xdr:colOff>
                    <xdr:row>35</xdr:row>
                    <xdr:rowOff>0</xdr:rowOff>
                  </from>
                  <to>
                    <xdr:col>5</xdr:col>
                    <xdr:colOff>1095375</xdr:colOff>
                    <xdr:row>36</xdr:row>
                    <xdr:rowOff>28575</xdr:rowOff>
                  </to>
                </anchor>
              </controlPr>
            </control>
          </mc:Choice>
        </mc:AlternateContent>
        <mc:AlternateContent xmlns:mc="http://schemas.openxmlformats.org/markup-compatibility/2006">
          <mc:Choice Requires="x14">
            <control shapeId="131843" r:id="rId19" name="Check Box 4867">
              <controlPr defaultSize="0" autoFill="0" autoLine="0" autoPict="0">
                <anchor moveWithCells="1">
                  <from>
                    <xdr:col>6</xdr:col>
                    <xdr:colOff>9525</xdr:colOff>
                    <xdr:row>35</xdr:row>
                    <xdr:rowOff>9525</xdr:rowOff>
                  </from>
                  <to>
                    <xdr:col>7</xdr:col>
                    <xdr:colOff>1104900</xdr:colOff>
                    <xdr:row>36</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X160"/>
  <sheetViews>
    <sheetView zoomScaleNormal="100" workbookViewId="0">
      <selection activeCell="B4" sqref="B4"/>
    </sheetView>
  </sheetViews>
  <sheetFormatPr defaultRowHeight="12.75" x14ac:dyDescent="0.2"/>
  <cols>
    <col min="1" max="1" width="2" customWidth="1"/>
    <col min="2" max="2" width="22.85546875" customWidth="1"/>
    <col min="3" max="3" width="10.5703125" customWidth="1"/>
    <col min="4" max="5" width="8.28515625" customWidth="1"/>
    <col min="6" max="6" width="10.85546875" customWidth="1"/>
    <col min="7" max="7" width="10.5703125" customWidth="1"/>
    <col min="8" max="8" width="13.85546875" customWidth="1"/>
    <col min="9" max="9" width="11.7109375" customWidth="1"/>
    <col min="10" max="10" width="14.140625" customWidth="1"/>
    <col min="11" max="11" width="14.85546875" customWidth="1"/>
    <col min="12" max="12" width="16.5703125" customWidth="1"/>
    <col min="13" max="13" width="11.140625" customWidth="1"/>
    <col min="14" max="14" width="14.28515625" customWidth="1"/>
    <col min="15" max="15" width="16" customWidth="1"/>
    <col min="16" max="16" width="9.140625" hidden="1" customWidth="1"/>
  </cols>
  <sheetData>
    <row r="1" spans="1:24" ht="20.25" customHeight="1" x14ac:dyDescent="0.2">
      <c r="B1" s="2063" t="s">
        <v>1448</v>
      </c>
      <c r="C1" s="2063"/>
      <c r="D1" s="2063"/>
      <c r="E1" s="2063"/>
      <c r="F1" s="2063"/>
      <c r="G1" s="2063"/>
      <c r="H1" s="2063"/>
      <c r="I1" s="2063"/>
      <c r="J1" s="2063"/>
      <c r="K1" s="2063"/>
      <c r="L1" s="2063"/>
      <c r="M1" s="2063"/>
      <c r="N1" s="2063"/>
      <c r="O1" s="10"/>
      <c r="P1" s="11"/>
      <c r="Q1" s="1"/>
      <c r="R1" s="1"/>
      <c r="S1" s="1"/>
      <c r="T1" s="1"/>
      <c r="U1" s="10"/>
    </row>
    <row r="2" spans="1:24" ht="166.5" customHeight="1" x14ac:dyDescent="0.2">
      <c r="B2" s="2061"/>
      <c r="C2" s="2061"/>
      <c r="D2" s="2061"/>
      <c r="E2" s="2061"/>
      <c r="F2" s="2061"/>
      <c r="G2" s="2061"/>
      <c r="H2" s="2061"/>
      <c r="I2" s="2061"/>
      <c r="J2" s="2061"/>
      <c r="K2" s="2061"/>
      <c r="L2" s="2061"/>
      <c r="M2" s="2061"/>
      <c r="N2" s="2061"/>
      <c r="O2" s="10"/>
      <c r="P2" s="10"/>
      <c r="Q2" s="1"/>
      <c r="R2" s="1"/>
      <c r="S2" s="1"/>
      <c r="T2" s="1"/>
      <c r="U2" s="10"/>
    </row>
    <row r="3" spans="1:24" ht="18.75" customHeight="1" x14ac:dyDescent="0.2">
      <c r="A3" s="1"/>
      <c r="B3" s="2064" t="s">
        <v>1449</v>
      </c>
      <c r="C3" s="2064"/>
      <c r="D3" s="2064"/>
      <c r="E3" s="2064"/>
      <c r="F3" s="2064"/>
      <c r="G3" s="2064"/>
      <c r="H3" s="2064"/>
      <c r="I3" s="2064"/>
      <c r="J3" s="2064"/>
      <c r="K3" s="2064"/>
      <c r="L3" s="2064"/>
      <c r="M3" s="2064"/>
      <c r="N3" s="2064"/>
      <c r="O3" s="417"/>
      <c r="P3" s="34"/>
      <c r="Q3" s="34"/>
      <c r="R3" s="34"/>
      <c r="S3" s="34"/>
      <c r="T3" s="60"/>
      <c r="U3" s="60"/>
      <c r="V3" s="60"/>
      <c r="W3" s="34"/>
      <c r="X3" s="34"/>
    </row>
    <row r="4" spans="1:24" ht="37.5" customHeight="1" thickBot="1" x14ac:dyDescent="0.25">
      <c r="A4" s="1"/>
      <c r="B4" s="809" t="s">
        <v>973</v>
      </c>
      <c r="C4" s="810"/>
      <c r="D4" s="811"/>
      <c r="E4" s="811"/>
      <c r="F4" s="811"/>
      <c r="G4" s="811"/>
      <c r="H4" s="812"/>
      <c r="I4" s="813"/>
      <c r="J4" s="814"/>
      <c r="K4" s="814"/>
      <c r="L4" s="815"/>
      <c r="M4" s="816"/>
      <c r="N4" s="817"/>
      <c r="O4" s="418"/>
      <c r="P4" s="60"/>
      <c r="Q4" s="602"/>
      <c r="R4" s="60"/>
      <c r="S4" s="60"/>
      <c r="T4" s="60"/>
      <c r="U4" s="60"/>
      <c r="V4" s="60"/>
      <c r="W4" s="34"/>
      <c r="X4" s="34"/>
    </row>
    <row r="5" spans="1:24" ht="22.5" customHeight="1" x14ac:dyDescent="0.25">
      <c r="A5" s="808"/>
      <c r="B5" s="806" t="s">
        <v>456</v>
      </c>
      <c r="C5" s="806"/>
      <c r="D5" s="806"/>
      <c r="E5" s="806"/>
      <c r="F5" s="806"/>
      <c r="G5" s="806"/>
      <c r="H5" s="65"/>
      <c r="I5" s="65"/>
      <c r="J5" s="65"/>
      <c r="K5" s="65"/>
      <c r="L5" s="65"/>
      <c r="M5" s="65"/>
      <c r="N5" s="818"/>
      <c r="O5" s="418"/>
      <c r="P5" s="2"/>
      <c r="Q5" s="33"/>
      <c r="R5" s="60"/>
      <c r="S5" s="60"/>
      <c r="T5" s="60"/>
      <c r="U5" s="60"/>
      <c r="V5" s="10"/>
    </row>
    <row r="6" spans="1:24" ht="15" customHeight="1" x14ac:dyDescent="0.2">
      <c r="A6" s="808"/>
      <c r="B6" s="61" t="s">
        <v>1322</v>
      </c>
      <c r="C6" s="61"/>
      <c r="D6" s="61"/>
      <c r="E6" s="61"/>
      <c r="F6" s="61"/>
      <c r="G6" s="61"/>
      <c r="H6" s="65"/>
      <c r="I6" s="65"/>
      <c r="J6" s="65"/>
      <c r="K6" s="65"/>
      <c r="L6" s="65"/>
      <c r="M6" s="65"/>
      <c r="N6" s="819"/>
      <c r="O6" s="418"/>
      <c r="P6" s="2"/>
      <c r="Q6" s="60"/>
      <c r="R6" s="60"/>
      <c r="S6" s="60"/>
      <c r="T6" s="60"/>
      <c r="U6" s="60"/>
    </row>
    <row r="7" spans="1:24" ht="15" customHeight="1" x14ac:dyDescent="0.2">
      <c r="A7" s="808"/>
      <c r="B7" s="61" t="s">
        <v>14</v>
      </c>
      <c r="C7" s="61"/>
      <c r="D7" s="61"/>
      <c r="E7" s="61"/>
      <c r="F7" s="61"/>
      <c r="G7" s="61"/>
      <c r="H7" s="65"/>
      <c r="I7" s="65"/>
      <c r="J7" s="65"/>
      <c r="K7" s="65"/>
      <c r="L7" s="65"/>
      <c r="M7" s="65"/>
      <c r="N7" s="819"/>
      <c r="O7" s="418"/>
      <c r="P7" s="2"/>
      <c r="Q7" s="602"/>
      <c r="R7" s="60"/>
      <c r="S7" s="60"/>
      <c r="T7" s="60"/>
      <c r="U7" s="60"/>
      <c r="V7" s="10"/>
      <c r="W7" s="10"/>
    </row>
    <row r="8" spans="1:24" ht="15" customHeight="1" x14ac:dyDescent="0.2">
      <c r="A8" s="808"/>
      <c r="B8" s="65" t="s">
        <v>634</v>
      </c>
      <c r="C8" s="65"/>
      <c r="D8" s="65"/>
      <c r="E8" s="65"/>
      <c r="F8" s="65"/>
      <c r="G8" s="65"/>
      <c r="H8" s="65"/>
      <c r="I8" s="65"/>
      <c r="J8" s="65"/>
      <c r="K8" s="65"/>
      <c r="L8" s="65"/>
      <c r="M8" s="65"/>
      <c r="N8" s="819"/>
      <c r="O8" s="418"/>
      <c r="P8" s="2"/>
      <c r="Q8" s="33"/>
      <c r="R8" s="60"/>
      <c r="S8" s="60"/>
      <c r="T8" s="60"/>
      <c r="U8" s="60"/>
      <c r="V8" s="10"/>
      <c r="W8" s="10"/>
    </row>
    <row r="9" spans="1:24" ht="15" customHeight="1" x14ac:dyDescent="0.2">
      <c r="A9" s="808"/>
      <c r="B9" s="1131" t="s">
        <v>1394</v>
      </c>
      <c r="C9" s="65"/>
      <c r="D9" s="65"/>
      <c r="E9" s="65"/>
      <c r="F9" s="65"/>
      <c r="G9" s="65"/>
      <c r="H9" s="65"/>
      <c r="I9" s="65"/>
      <c r="J9" s="65"/>
      <c r="K9" s="65"/>
      <c r="L9" s="65"/>
      <c r="M9" s="65"/>
      <c r="N9" s="819"/>
      <c r="O9" s="418"/>
      <c r="P9" s="2"/>
      <c r="Q9" s="602"/>
      <c r="R9" s="60"/>
      <c r="S9" s="60"/>
      <c r="T9" s="60"/>
      <c r="U9" s="60"/>
      <c r="V9" s="10"/>
      <c r="W9" s="10"/>
    </row>
    <row r="10" spans="1:24" ht="15" customHeight="1" x14ac:dyDescent="0.2">
      <c r="A10" s="808"/>
      <c r="B10" s="1131" t="s">
        <v>1403</v>
      </c>
      <c r="C10" s="61"/>
      <c r="D10" s="61"/>
      <c r="E10" s="61"/>
      <c r="F10" s="61"/>
      <c r="G10" s="61"/>
      <c r="H10" s="65"/>
      <c r="I10" s="65"/>
      <c r="J10" s="65"/>
      <c r="K10" s="65"/>
      <c r="L10" s="65"/>
      <c r="M10" s="65"/>
      <c r="N10" s="819"/>
      <c r="O10" s="418"/>
      <c r="P10" s="2"/>
      <c r="Q10" s="602"/>
      <c r="R10" s="60"/>
      <c r="S10" s="60"/>
      <c r="T10" s="60"/>
      <c r="U10" s="60"/>
      <c r="V10" s="10"/>
      <c r="W10" s="10"/>
    </row>
    <row r="11" spans="1:24" ht="15" customHeight="1" x14ac:dyDescent="0.2">
      <c r="A11" s="808"/>
      <c r="B11" s="61" t="s">
        <v>533</v>
      </c>
      <c r="C11" s="61"/>
      <c r="D11" s="61"/>
      <c r="E11" s="61"/>
      <c r="F11" s="61"/>
      <c r="G11" s="61"/>
      <c r="H11" s="65"/>
      <c r="I11" s="65"/>
      <c r="J11" s="65"/>
      <c r="K11" s="65"/>
      <c r="L11" s="65"/>
      <c r="M11" s="65"/>
      <c r="N11" s="819"/>
      <c r="O11" s="418"/>
      <c r="P11" s="2"/>
      <c r="Q11" s="602"/>
      <c r="R11" s="60"/>
      <c r="S11" s="60"/>
      <c r="T11" s="60"/>
      <c r="U11" s="60"/>
      <c r="V11" s="10"/>
      <c r="W11" s="10"/>
    </row>
    <row r="12" spans="1:24" ht="15" customHeight="1" x14ac:dyDescent="0.2">
      <c r="A12" s="808"/>
      <c r="B12" s="835"/>
      <c r="C12" s="836"/>
      <c r="D12" s="836"/>
      <c r="E12" s="836"/>
      <c r="F12" s="836"/>
      <c r="G12" s="836"/>
      <c r="H12" s="837"/>
      <c r="I12" s="837"/>
      <c r="J12" s="837"/>
      <c r="K12" s="837"/>
      <c r="L12" s="837"/>
      <c r="M12" s="837"/>
      <c r="N12" s="838"/>
      <c r="O12" s="418"/>
      <c r="P12" s="2"/>
      <c r="Q12" s="602"/>
      <c r="R12" s="60"/>
      <c r="S12" s="60"/>
      <c r="T12" s="60"/>
      <c r="U12" s="60"/>
      <c r="V12" s="10"/>
      <c r="W12" s="10"/>
    </row>
    <row r="13" spans="1:24" ht="15" customHeight="1" x14ac:dyDescent="0.2">
      <c r="A13" s="808"/>
      <c r="B13" s="833" t="s">
        <v>48</v>
      </c>
      <c r="C13" s="834"/>
      <c r="D13" s="839"/>
      <c r="E13" s="839"/>
      <c r="F13" s="839"/>
      <c r="G13" s="840" t="s">
        <v>455</v>
      </c>
      <c r="H13" s="841"/>
      <c r="I13" s="841"/>
      <c r="J13" s="841"/>
      <c r="K13" s="841"/>
      <c r="L13" s="841"/>
      <c r="M13" s="841"/>
      <c r="N13" s="842"/>
      <c r="O13" s="418"/>
      <c r="P13" s="2"/>
      <c r="Q13" s="602"/>
      <c r="R13" s="60"/>
      <c r="S13" s="60"/>
      <c r="T13" s="60"/>
      <c r="U13" s="60"/>
      <c r="V13" s="10"/>
      <c r="W13" s="10"/>
    </row>
    <row r="14" spans="1:24" ht="15" customHeight="1" thickBot="1" x14ac:dyDescent="0.25">
      <c r="A14" s="808"/>
      <c r="B14" s="62" t="s">
        <v>1323</v>
      </c>
      <c r="C14" s="843"/>
      <c r="D14" s="260"/>
      <c r="E14" s="260"/>
      <c r="F14" s="260"/>
      <c r="G14" s="260"/>
      <c r="H14" s="229"/>
      <c r="I14" s="229"/>
      <c r="J14" s="229"/>
      <c r="K14" s="229"/>
      <c r="L14" s="229"/>
      <c r="M14" s="229"/>
      <c r="N14" s="820"/>
      <c r="O14" s="418"/>
      <c r="P14" s="2"/>
      <c r="Q14" s="33"/>
      <c r="R14" s="60"/>
      <c r="S14" s="60"/>
      <c r="T14" s="60"/>
      <c r="U14" s="60"/>
      <c r="V14" s="10"/>
      <c r="W14" s="10"/>
    </row>
    <row r="15" spans="1:24" ht="15" customHeight="1" thickBot="1" x14ac:dyDescent="0.25">
      <c r="A15" s="808"/>
      <c r="B15" s="823" t="s">
        <v>1324</v>
      </c>
      <c r="C15" s="824"/>
      <c r="D15" s="825"/>
      <c r="E15" s="826"/>
      <c r="F15" s="827"/>
      <c r="G15" s="828"/>
      <c r="H15" s="829"/>
      <c r="I15" s="829"/>
      <c r="J15" s="829"/>
      <c r="K15" s="829"/>
      <c r="L15" s="829"/>
      <c r="M15" s="829"/>
      <c r="N15" s="830"/>
      <c r="O15" s="418"/>
      <c r="P15" s="2"/>
      <c r="Q15" s="60"/>
      <c r="R15" s="60"/>
      <c r="S15" s="60"/>
      <c r="T15" s="60"/>
      <c r="U15" s="60"/>
      <c r="V15" s="10"/>
      <c r="W15" s="10"/>
    </row>
    <row r="16" spans="1:24" ht="15" customHeight="1" x14ac:dyDescent="0.2">
      <c r="A16" s="808"/>
      <c r="B16" s="62" t="s">
        <v>984</v>
      </c>
      <c r="C16" s="62"/>
      <c r="D16" s="260"/>
      <c r="E16" s="260"/>
      <c r="F16" s="260"/>
      <c r="G16" s="260"/>
      <c r="H16" s="229"/>
      <c r="I16" s="229"/>
      <c r="J16" s="229"/>
      <c r="K16" s="229"/>
      <c r="L16" s="229"/>
      <c r="M16" s="229"/>
      <c r="N16" s="820"/>
      <c r="O16" s="418"/>
      <c r="P16" s="2"/>
      <c r="Q16" s="602"/>
      <c r="R16" s="60"/>
      <c r="S16" s="60"/>
      <c r="T16" s="60"/>
      <c r="U16" s="60"/>
      <c r="V16" s="10"/>
      <c r="W16" s="10"/>
    </row>
    <row r="17" spans="1:23" ht="15" customHeight="1" thickBot="1" x14ac:dyDescent="0.25">
      <c r="A17" s="808"/>
      <c r="B17" s="823" t="s">
        <v>47</v>
      </c>
      <c r="C17" s="831"/>
      <c r="D17" s="832"/>
      <c r="E17" s="828"/>
      <c r="F17" s="828"/>
      <c r="G17" s="828"/>
      <c r="H17" s="829"/>
      <c r="I17" s="829"/>
      <c r="J17" s="829"/>
      <c r="K17" s="829"/>
      <c r="L17" s="829"/>
      <c r="M17" s="829"/>
      <c r="N17" s="830"/>
      <c r="O17" s="418"/>
      <c r="P17" s="2"/>
      <c r="Q17" s="33"/>
      <c r="R17" s="60"/>
      <c r="S17" s="60"/>
      <c r="T17" s="60"/>
      <c r="U17" s="60"/>
      <c r="V17" s="10"/>
      <c r="W17" s="10"/>
    </row>
    <row r="18" spans="1:23" ht="15" customHeight="1" x14ac:dyDescent="0.2">
      <c r="A18" s="808"/>
      <c r="B18" s="62" t="s">
        <v>985</v>
      </c>
      <c r="C18" s="62"/>
      <c r="D18" s="260"/>
      <c r="E18" s="260"/>
      <c r="F18" s="260"/>
      <c r="G18" s="260"/>
      <c r="H18" s="229"/>
      <c r="I18" s="229"/>
      <c r="J18" s="229"/>
      <c r="K18" s="229"/>
      <c r="L18" s="229"/>
      <c r="M18" s="229"/>
      <c r="N18" s="820"/>
      <c r="O18" s="418"/>
      <c r="P18" s="2"/>
      <c r="Q18" s="33"/>
      <c r="R18" s="60"/>
      <c r="S18" s="60"/>
      <c r="T18" s="60"/>
      <c r="U18" s="60"/>
      <c r="V18" s="10"/>
      <c r="W18" s="10"/>
    </row>
    <row r="19" spans="1:23" ht="15" customHeight="1" thickBot="1" x14ac:dyDescent="0.25">
      <c r="A19" s="808"/>
      <c r="B19" s="823" t="s">
        <v>46</v>
      </c>
      <c r="C19" s="831"/>
      <c r="D19" s="828"/>
      <c r="E19" s="828"/>
      <c r="F19" s="828"/>
      <c r="G19" s="828"/>
      <c r="H19" s="829"/>
      <c r="I19" s="829"/>
      <c r="J19" s="829"/>
      <c r="K19" s="829"/>
      <c r="L19" s="829"/>
      <c r="M19" s="829"/>
      <c r="N19" s="830"/>
      <c r="O19" s="418"/>
      <c r="P19" s="2"/>
      <c r="Q19" s="60"/>
      <c r="R19" s="60"/>
      <c r="S19" s="60"/>
      <c r="T19" s="60"/>
      <c r="U19" s="60"/>
      <c r="V19" s="10"/>
      <c r="W19" s="10"/>
    </row>
    <row r="20" spans="1:23" ht="10.5" customHeight="1" thickBot="1" x14ac:dyDescent="0.25">
      <c r="A20" s="1"/>
      <c r="B20" s="217"/>
      <c r="C20" s="848"/>
      <c r="D20" s="849"/>
      <c r="E20" s="849"/>
      <c r="F20" s="849"/>
      <c r="G20" s="849"/>
      <c r="H20" s="850"/>
      <c r="I20" s="850"/>
      <c r="J20" s="850"/>
      <c r="K20" s="850"/>
      <c r="L20" s="850"/>
      <c r="M20" s="850"/>
      <c r="N20" s="273"/>
      <c r="O20" s="418"/>
      <c r="P20" s="2"/>
      <c r="Q20" s="33"/>
      <c r="R20" s="60"/>
      <c r="S20" s="60"/>
      <c r="T20" s="60"/>
      <c r="U20" s="60"/>
      <c r="V20" s="10"/>
      <c r="W20" s="10"/>
    </row>
    <row r="21" spans="1:23" ht="15" customHeight="1" x14ac:dyDescent="0.2">
      <c r="A21" s="1"/>
      <c r="B21" s="860"/>
      <c r="C21" s="845"/>
      <c r="D21" s="844"/>
      <c r="E21" s="844"/>
      <c r="F21" s="845"/>
      <c r="G21" s="845" t="s">
        <v>295</v>
      </c>
      <c r="H21" s="845"/>
      <c r="I21" s="846"/>
      <c r="J21" s="858"/>
      <c r="K21" s="859"/>
      <c r="L21" s="847"/>
      <c r="M21" s="851"/>
      <c r="N21" s="273"/>
      <c r="O21" s="418"/>
      <c r="P21" s="2"/>
      <c r="Q21" s="60"/>
      <c r="R21" s="60"/>
      <c r="S21" s="60"/>
      <c r="T21" s="60"/>
      <c r="U21" s="60"/>
      <c r="V21" s="10"/>
      <c r="W21" s="10"/>
    </row>
    <row r="22" spans="1:23" ht="15" customHeight="1" x14ac:dyDescent="0.2">
      <c r="A22" s="1"/>
      <c r="B22" s="860"/>
      <c r="C22" s="270"/>
      <c r="D22" s="260"/>
      <c r="E22" s="260"/>
      <c r="F22" s="260"/>
      <c r="G22" s="853"/>
      <c r="H22" s="229"/>
      <c r="I22" s="229"/>
      <c r="J22" s="820"/>
      <c r="K22" s="229"/>
      <c r="L22" s="229"/>
      <c r="M22" s="820"/>
      <c r="N22" s="753"/>
      <c r="O22" s="418"/>
      <c r="P22" s="2"/>
      <c r="Q22" s="602"/>
      <c r="R22" s="60"/>
      <c r="S22" s="60"/>
      <c r="T22" s="60"/>
      <c r="U22" s="60"/>
      <c r="V22" s="10"/>
      <c r="W22" s="10"/>
    </row>
    <row r="23" spans="1:23" ht="15" customHeight="1" x14ac:dyDescent="0.2">
      <c r="A23" s="1"/>
      <c r="B23" s="860"/>
      <c r="C23" s="218" t="s">
        <v>303</v>
      </c>
      <c r="D23" s="271"/>
      <c r="E23" s="2"/>
      <c r="F23" s="260"/>
      <c r="G23" s="854"/>
      <c r="H23" s="218" t="s">
        <v>302</v>
      </c>
      <c r="I23" s="271"/>
      <c r="J23" s="820"/>
      <c r="K23" s="218" t="s">
        <v>301</v>
      </c>
      <c r="L23" s="229"/>
      <c r="M23" s="820"/>
      <c r="N23" s="753"/>
      <c r="O23" s="418"/>
      <c r="P23" s="2"/>
      <c r="Q23" s="33"/>
      <c r="R23" s="60"/>
      <c r="S23" s="60"/>
      <c r="T23" s="60"/>
      <c r="U23" s="60"/>
      <c r="V23" s="10"/>
      <c r="W23" s="10"/>
    </row>
    <row r="24" spans="1:23" ht="15" customHeight="1" x14ac:dyDescent="0.2">
      <c r="A24" s="1"/>
      <c r="B24" s="860"/>
      <c r="C24" s="269" t="s">
        <v>296</v>
      </c>
      <c r="D24" s="271"/>
      <c r="E24" s="2"/>
      <c r="F24" s="260"/>
      <c r="G24" s="854"/>
      <c r="H24" s="269" t="s">
        <v>297</v>
      </c>
      <c r="I24" s="271"/>
      <c r="J24" s="820"/>
      <c r="K24" s="269" t="s">
        <v>300</v>
      </c>
      <c r="L24" s="229"/>
      <c r="M24" s="820"/>
      <c r="N24" s="753"/>
      <c r="O24" s="418"/>
      <c r="P24" s="2"/>
      <c r="Q24" s="33"/>
      <c r="R24" s="60"/>
      <c r="S24" s="60"/>
      <c r="T24" s="60"/>
      <c r="U24" s="60"/>
      <c r="V24" s="10"/>
      <c r="W24" s="10"/>
    </row>
    <row r="25" spans="1:23" ht="15" customHeight="1" x14ac:dyDescent="0.2">
      <c r="A25" s="1"/>
      <c r="B25" s="860"/>
      <c r="C25" s="259" t="s">
        <v>298</v>
      </c>
      <c r="D25" s="260"/>
      <c r="E25" s="260"/>
      <c r="F25" s="260"/>
      <c r="G25" s="854"/>
      <c r="H25" s="259" t="s">
        <v>152</v>
      </c>
      <c r="I25" s="229"/>
      <c r="J25" s="820"/>
      <c r="K25" s="259" t="s">
        <v>299</v>
      </c>
      <c r="L25" s="229"/>
      <c r="M25" s="820"/>
      <c r="N25" s="753"/>
      <c r="O25" s="418"/>
      <c r="P25" s="2"/>
      <c r="Q25" s="593"/>
      <c r="R25" s="60"/>
      <c r="S25" s="60"/>
      <c r="T25" s="60"/>
      <c r="U25" s="60"/>
      <c r="V25" s="10"/>
      <c r="W25" s="10"/>
    </row>
    <row r="26" spans="1:23" ht="15" customHeight="1" x14ac:dyDescent="0.2">
      <c r="A26" s="1"/>
      <c r="B26" s="860"/>
      <c r="C26" s="272" t="s">
        <v>561</v>
      </c>
      <c r="D26" s="260"/>
      <c r="E26" s="260"/>
      <c r="F26" s="260"/>
      <c r="G26" s="854"/>
      <c r="H26" s="272" t="s">
        <v>561</v>
      </c>
      <c r="I26" s="229"/>
      <c r="J26" s="820"/>
      <c r="K26" s="272" t="s">
        <v>561</v>
      </c>
      <c r="L26" s="229"/>
      <c r="M26" s="820"/>
      <c r="N26" s="753"/>
      <c r="O26" s="418"/>
      <c r="P26" s="2"/>
      <c r="Q26" s="33"/>
      <c r="R26" s="60"/>
      <c r="S26" s="60"/>
      <c r="T26" s="60"/>
      <c r="U26" s="60"/>
      <c r="V26" s="10"/>
      <c r="W26" s="10"/>
    </row>
    <row r="27" spans="1:23" ht="15" customHeight="1" x14ac:dyDescent="0.2">
      <c r="A27" s="1"/>
      <c r="B27" s="860"/>
      <c r="C27" s="270" t="s">
        <v>304</v>
      </c>
      <c r="D27" s="260"/>
      <c r="E27" s="260"/>
      <c r="F27" s="260"/>
      <c r="G27" s="854"/>
      <c r="H27" s="270" t="s">
        <v>306</v>
      </c>
      <c r="I27" s="229"/>
      <c r="J27" s="820"/>
      <c r="K27" s="270" t="s">
        <v>308</v>
      </c>
      <c r="L27" s="229"/>
      <c r="M27" s="820"/>
      <c r="N27" s="753"/>
      <c r="O27" s="418"/>
      <c r="P27" s="2"/>
      <c r="Q27" s="33"/>
      <c r="R27" s="60"/>
      <c r="S27" s="60"/>
      <c r="T27" s="60"/>
      <c r="U27" s="60"/>
      <c r="V27" s="10"/>
      <c r="W27" s="10"/>
    </row>
    <row r="28" spans="1:23" ht="15" customHeight="1" x14ac:dyDescent="0.2">
      <c r="A28" s="1"/>
      <c r="B28" s="860"/>
      <c r="C28" s="270" t="s">
        <v>305</v>
      </c>
      <c r="D28" s="260"/>
      <c r="E28" s="260"/>
      <c r="F28" s="260"/>
      <c r="G28" s="854"/>
      <c r="H28" s="270" t="s">
        <v>307</v>
      </c>
      <c r="I28" s="229"/>
      <c r="J28" s="820"/>
      <c r="K28" s="270" t="s">
        <v>560</v>
      </c>
      <c r="L28" s="229"/>
      <c r="M28" s="820"/>
      <c r="N28" s="753"/>
      <c r="O28" s="418"/>
      <c r="P28" s="2"/>
      <c r="Q28" s="60"/>
      <c r="R28" s="60"/>
      <c r="S28" s="60"/>
      <c r="T28" s="60"/>
      <c r="U28" s="60"/>
      <c r="V28" s="10"/>
      <c r="W28" s="10"/>
    </row>
    <row r="29" spans="1:23" ht="15" customHeight="1" x14ac:dyDescent="0.2">
      <c r="A29" s="1"/>
      <c r="B29" s="860" t="s">
        <v>1127</v>
      </c>
      <c r="C29" s="270"/>
      <c r="D29" s="260"/>
      <c r="E29" s="260"/>
      <c r="F29" s="260"/>
      <c r="G29" s="854"/>
      <c r="H29" s="270"/>
      <c r="I29" s="229"/>
      <c r="J29" s="857"/>
      <c r="K29" s="270"/>
      <c r="L29" s="229"/>
      <c r="M29" s="820"/>
      <c r="N29" s="753"/>
      <c r="O29" s="418"/>
      <c r="P29" s="2"/>
      <c r="Q29" s="602"/>
      <c r="R29" s="60"/>
      <c r="S29" s="60"/>
      <c r="T29" s="60"/>
      <c r="U29" s="60"/>
      <c r="V29" s="10"/>
      <c r="W29" s="10"/>
    </row>
    <row r="30" spans="1:23" ht="15" customHeight="1" thickBot="1" x14ac:dyDescent="0.25">
      <c r="A30" s="1"/>
      <c r="B30" s="860"/>
      <c r="C30" s="852"/>
      <c r="D30" s="828"/>
      <c r="E30" s="828"/>
      <c r="F30" s="828"/>
      <c r="G30" s="855"/>
      <c r="H30" s="852"/>
      <c r="I30" s="829"/>
      <c r="J30" s="830"/>
      <c r="K30" s="852"/>
      <c r="L30" s="829"/>
      <c r="M30" s="830"/>
      <c r="N30" s="753"/>
      <c r="O30" s="418"/>
      <c r="P30" s="2"/>
      <c r="Q30" s="60"/>
      <c r="R30" s="60"/>
      <c r="S30" s="60"/>
      <c r="T30" s="60"/>
      <c r="U30" s="60"/>
      <c r="V30" s="10"/>
      <c r="W30" s="10"/>
    </row>
    <row r="31" spans="1:23" ht="10.5" customHeight="1" thickBot="1" x14ac:dyDescent="0.25">
      <c r="A31" s="1"/>
      <c r="B31" s="270"/>
      <c r="C31" s="861"/>
      <c r="D31" s="849"/>
      <c r="E31" s="849"/>
      <c r="F31" s="849"/>
      <c r="G31" s="849"/>
      <c r="H31" s="850"/>
      <c r="I31" s="850"/>
      <c r="J31" s="850"/>
      <c r="K31" s="229"/>
      <c r="L31" s="229"/>
      <c r="M31" s="229"/>
      <c r="N31" s="273"/>
      <c r="O31" s="418"/>
      <c r="P31" s="2"/>
      <c r="Q31" s="33"/>
      <c r="R31" s="60"/>
      <c r="S31" s="60"/>
      <c r="T31" s="60"/>
      <c r="U31" s="60"/>
      <c r="V31" s="10"/>
      <c r="W31" s="10"/>
    </row>
    <row r="32" spans="1:23" ht="15" customHeight="1" x14ac:dyDescent="0.25">
      <c r="A32" s="1"/>
      <c r="B32" s="874"/>
      <c r="C32" s="951"/>
      <c r="D32" s="952"/>
      <c r="E32" s="952"/>
      <c r="F32" s="858"/>
      <c r="G32" s="858" t="s">
        <v>534</v>
      </c>
      <c r="H32" s="858"/>
      <c r="I32" s="953"/>
      <c r="J32" s="856"/>
      <c r="K32" s="234"/>
      <c r="L32" s="237"/>
      <c r="M32" s="235"/>
      <c r="N32" s="238"/>
      <c r="O32" s="418"/>
      <c r="P32" s="2"/>
      <c r="Q32" s="60"/>
      <c r="R32" s="60"/>
      <c r="S32" s="60"/>
      <c r="T32" s="60"/>
      <c r="U32" s="60"/>
      <c r="V32" s="10"/>
      <c r="W32" s="10"/>
    </row>
    <row r="33" spans="1:23" ht="15" customHeight="1" x14ac:dyDescent="0.2">
      <c r="A33" s="1"/>
      <c r="B33" s="875"/>
      <c r="C33" s="218"/>
      <c r="D33" s="116"/>
      <c r="E33" s="60"/>
      <c r="F33" s="218"/>
      <c r="G33" s="863"/>
      <c r="H33" s="218"/>
      <c r="I33" s="219"/>
      <c r="J33" s="862"/>
      <c r="K33" s="219"/>
      <c r="L33" s="236"/>
      <c r="M33" s="236"/>
      <c r="N33" s="239"/>
      <c r="O33" s="401"/>
      <c r="P33" s="2"/>
      <c r="Q33" s="602"/>
      <c r="R33" s="60"/>
      <c r="S33" s="60"/>
      <c r="T33" s="60"/>
      <c r="U33" s="60"/>
      <c r="V33" s="10"/>
      <c r="W33" s="10"/>
    </row>
    <row r="34" spans="1:23" ht="15" customHeight="1" x14ac:dyDescent="0.2">
      <c r="A34" s="1"/>
      <c r="B34" s="875"/>
      <c r="C34" s="218" t="s">
        <v>576</v>
      </c>
      <c r="D34" s="30"/>
      <c r="E34" s="572"/>
      <c r="F34" s="218"/>
      <c r="G34" s="863"/>
      <c r="H34" s="218" t="s">
        <v>556</v>
      </c>
      <c r="I34" s="218"/>
      <c r="J34" s="863"/>
      <c r="K34" s="218"/>
      <c r="L34" s="219"/>
      <c r="M34" s="219"/>
      <c r="N34" s="232"/>
      <c r="O34" s="401"/>
      <c r="P34" s="2"/>
      <c r="Q34" s="602"/>
      <c r="R34" s="60"/>
      <c r="S34" s="60"/>
      <c r="T34" s="60"/>
      <c r="U34" s="60"/>
      <c r="V34" s="10"/>
      <c r="W34" s="10"/>
    </row>
    <row r="35" spans="1:23" ht="15" customHeight="1" x14ac:dyDescent="0.2">
      <c r="A35" s="1"/>
      <c r="B35" s="876"/>
      <c r="C35" s="259" t="s">
        <v>545</v>
      </c>
      <c r="D35" s="30"/>
      <c r="E35" s="60"/>
      <c r="F35" s="225"/>
      <c r="G35" s="864"/>
      <c r="H35" s="259" t="s">
        <v>13</v>
      </c>
      <c r="I35" s="225"/>
      <c r="J35" s="864"/>
      <c r="K35" s="225"/>
      <c r="L35" s="220"/>
      <c r="M35" s="220"/>
      <c r="N35" s="233"/>
      <c r="O35" s="401"/>
      <c r="P35" s="2"/>
      <c r="Q35" s="33"/>
      <c r="R35" s="60"/>
      <c r="S35" s="60"/>
      <c r="T35" s="60"/>
      <c r="U35" s="60"/>
      <c r="V35" s="10"/>
      <c r="W35" s="10"/>
    </row>
    <row r="36" spans="1:23" ht="15" customHeight="1" x14ac:dyDescent="0.2">
      <c r="A36" s="1"/>
      <c r="B36" s="876"/>
      <c r="C36" s="257" t="s">
        <v>710</v>
      </c>
      <c r="D36" s="30"/>
      <c r="E36" s="572"/>
      <c r="F36" s="225"/>
      <c r="G36" s="864"/>
      <c r="H36" s="257" t="s">
        <v>637</v>
      </c>
      <c r="I36" s="225"/>
      <c r="J36" s="864"/>
      <c r="K36" s="225"/>
      <c r="L36" s="220"/>
      <c r="M36" s="220"/>
      <c r="N36" s="233"/>
      <c r="O36" s="401"/>
      <c r="P36" s="2"/>
      <c r="Q36" s="33"/>
      <c r="R36" s="60"/>
      <c r="S36" s="60"/>
      <c r="T36" s="60"/>
      <c r="U36" s="60"/>
      <c r="V36" s="10"/>
      <c r="W36" s="10"/>
    </row>
    <row r="37" spans="1:23" ht="15" customHeight="1" x14ac:dyDescent="0.2">
      <c r="A37" s="1"/>
      <c r="B37" s="877"/>
      <c r="C37" s="1094"/>
      <c r="D37" s="1095"/>
      <c r="E37" s="1096"/>
      <c r="F37" s="1097"/>
      <c r="G37" s="1098"/>
      <c r="H37" s="1099" t="s">
        <v>636</v>
      </c>
      <c r="I37" s="1097"/>
      <c r="J37" s="1098"/>
      <c r="K37" s="219"/>
      <c r="L37" s="219"/>
      <c r="M37" s="219"/>
      <c r="N37" s="232"/>
      <c r="O37" s="401"/>
      <c r="P37" s="2"/>
      <c r="Q37" s="60"/>
      <c r="R37" s="60"/>
      <c r="S37" s="60"/>
      <c r="T37" s="60"/>
      <c r="U37" s="60"/>
      <c r="V37" s="10"/>
      <c r="W37" s="10"/>
    </row>
    <row r="38" spans="1:23" ht="15" customHeight="1" x14ac:dyDescent="0.2">
      <c r="A38" s="1"/>
      <c r="B38" s="878"/>
      <c r="C38" s="240" t="s">
        <v>909</v>
      </c>
      <c r="D38" s="647"/>
      <c r="E38" s="241"/>
      <c r="F38" s="1090"/>
      <c r="G38" s="882"/>
      <c r="H38" s="1092" t="s">
        <v>910</v>
      </c>
      <c r="I38" s="1090"/>
      <c r="J38" s="1093"/>
      <c r="K38" s="219"/>
      <c r="L38" s="219"/>
      <c r="M38" s="219"/>
      <c r="N38" s="232"/>
      <c r="O38" s="401"/>
      <c r="P38" s="2"/>
      <c r="Q38" s="602"/>
      <c r="R38" s="60"/>
      <c r="S38" s="60"/>
      <c r="T38" s="60"/>
      <c r="U38" s="60"/>
      <c r="V38" s="10"/>
      <c r="W38" s="10"/>
    </row>
    <row r="39" spans="1:23" ht="15" customHeight="1" x14ac:dyDescent="0.2">
      <c r="A39" s="1"/>
      <c r="B39" s="879"/>
      <c r="C39" s="248" t="s">
        <v>929</v>
      </c>
      <c r="D39" s="648"/>
      <c r="E39" s="243"/>
      <c r="F39" s="242"/>
      <c r="G39" s="1091"/>
      <c r="H39" s="244"/>
      <c r="I39" s="244"/>
      <c r="J39" s="866"/>
      <c r="K39" s="219"/>
      <c r="L39" s="219"/>
      <c r="M39" s="219"/>
      <c r="N39" s="232"/>
      <c r="O39" s="401"/>
      <c r="P39" s="2"/>
      <c r="Q39" s="602"/>
      <c r="R39" s="60"/>
      <c r="S39" s="60"/>
      <c r="T39" s="60"/>
      <c r="U39" s="60"/>
      <c r="V39" s="10"/>
      <c r="W39" s="10"/>
    </row>
    <row r="40" spans="1:23" ht="15" customHeight="1" x14ac:dyDescent="0.2">
      <c r="A40" s="1"/>
      <c r="B40" s="879"/>
      <c r="C40" s="245" t="s">
        <v>396</v>
      </c>
      <c r="D40" s="649"/>
      <c r="E40" s="246"/>
      <c r="F40" s="245"/>
      <c r="G40" s="884"/>
      <c r="H40" s="245" t="s">
        <v>927</v>
      </c>
      <c r="I40" s="245"/>
      <c r="J40" s="867"/>
      <c r="K40" s="230"/>
      <c r="L40" s="219"/>
      <c r="M40" s="219"/>
      <c r="N40" s="232"/>
      <c r="O40" s="401"/>
      <c r="P40" s="2"/>
      <c r="Q40" s="602"/>
      <c r="R40" s="60"/>
      <c r="S40" s="60"/>
      <c r="T40" s="60"/>
      <c r="U40" s="60"/>
      <c r="V40" s="60"/>
      <c r="W40" s="10"/>
    </row>
    <row r="41" spans="1:23" ht="15" customHeight="1" x14ac:dyDescent="0.2">
      <c r="A41" s="1"/>
      <c r="B41" s="880"/>
      <c r="C41" s="247" t="s">
        <v>930</v>
      </c>
      <c r="D41" s="649"/>
      <c r="E41" s="246"/>
      <c r="F41" s="247"/>
      <c r="G41" s="885"/>
      <c r="H41" s="247" t="s">
        <v>928</v>
      </c>
      <c r="I41" s="247"/>
      <c r="J41" s="868"/>
      <c r="K41" s="231"/>
      <c r="L41" s="219"/>
      <c r="M41" s="219"/>
      <c r="N41" s="232"/>
      <c r="O41" s="401"/>
      <c r="P41" s="2"/>
      <c r="Q41" s="33"/>
      <c r="R41" s="60"/>
      <c r="S41" s="60"/>
      <c r="T41" s="60"/>
      <c r="U41" s="60"/>
      <c r="V41" s="60"/>
      <c r="W41" s="10"/>
    </row>
    <row r="42" spans="1:23" ht="15" customHeight="1" x14ac:dyDescent="0.2">
      <c r="A42" s="1"/>
      <c r="B42" s="879"/>
      <c r="C42" s="242" t="s">
        <v>1413</v>
      </c>
      <c r="D42" s="649"/>
      <c r="E42" s="243"/>
      <c r="F42" s="242"/>
      <c r="G42" s="883"/>
      <c r="H42" s="242" t="s">
        <v>1412</v>
      </c>
      <c r="I42" s="242"/>
      <c r="J42" s="867"/>
      <c r="K42" s="230"/>
      <c r="L42" s="219"/>
      <c r="M42" s="219"/>
      <c r="N42" s="232"/>
      <c r="O42" s="401"/>
      <c r="P42" s="2"/>
      <c r="Q42" s="60"/>
      <c r="R42" s="60"/>
      <c r="S42" s="60"/>
      <c r="T42" s="60"/>
      <c r="U42" s="60"/>
      <c r="V42" s="60"/>
      <c r="W42" s="10"/>
    </row>
    <row r="43" spans="1:23" ht="15" customHeight="1" thickBot="1" x14ac:dyDescent="0.25">
      <c r="A43" s="1"/>
      <c r="B43" s="881"/>
      <c r="C43" s="871"/>
      <c r="D43" s="869"/>
      <c r="E43" s="870"/>
      <c r="F43" s="871"/>
      <c r="G43" s="886"/>
      <c r="H43" s="871"/>
      <c r="I43" s="872"/>
      <c r="J43" s="873"/>
      <c r="K43" s="219"/>
      <c r="L43" s="219"/>
      <c r="M43" s="219"/>
      <c r="N43" s="232"/>
      <c r="O43" s="401"/>
      <c r="P43" s="2"/>
      <c r="Q43" s="602"/>
      <c r="R43" s="60"/>
      <c r="S43" s="60"/>
      <c r="T43" s="60"/>
      <c r="U43" s="60"/>
      <c r="V43" s="60"/>
    </row>
    <row r="44" spans="1:23" ht="10.5" customHeight="1" thickBot="1" x14ac:dyDescent="0.25">
      <c r="A44" s="1"/>
      <c r="B44" s="888"/>
      <c r="C44" s="888"/>
      <c r="D44" s="810"/>
      <c r="E44" s="889"/>
      <c r="F44" s="888"/>
      <c r="G44" s="888"/>
      <c r="H44" s="888"/>
      <c r="I44" s="890"/>
      <c r="J44" s="890"/>
      <c r="K44" s="890"/>
      <c r="L44" s="890"/>
      <c r="M44" s="890"/>
      <c r="N44" s="891"/>
      <c r="O44" s="401"/>
      <c r="P44" s="2"/>
      <c r="Q44" s="33"/>
      <c r="R44" s="60"/>
      <c r="S44" s="60"/>
      <c r="T44" s="60"/>
      <c r="U44" s="60"/>
      <c r="V44" s="60"/>
    </row>
    <row r="45" spans="1:23" ht="15" customHeight="1" x14ac:dyDescent="0.2">
      <c r="A45" s="808"/>
      <c r="B45" s="887"/>
      <c r="C45" s="887"/>
      <c r="D45" s="887"/>
      <c r="E45" s="887"/>
      <c r="F45" s="887"/>
      <c r="G45" s="887"/>
      <c r="H45" s="887"/>
      <c r="I45" s="887"/>
      <c r="J45" s="887"/>
      <c r="K45" s="887"/>
      <c r="L45" s="887"/>
      <c r="M45" s="887"/>
      <c r="N45" s="892"/>
      <c r="O45" s="401"/>
      <c r="P45" s="2"/>
      <c r="Q45" s="60"/>
      <c r="R45" s="60"/>
      <c r="S45" s="60"/>
      <c r="T45" s="60"/>
      <c r="U45" s="60"/>
      <c r="V45" s="60"/>
    </row>
    <row r="46" spans="1:23" ht="30" customHeight="1" x14ac:dyDescent="0.2">
      <c r="A46" s="808"/>
      <c r="B46" s="551" t="s">
        <v>562</v>
      </c>
      <c r="C46" s="456"/>
      <c r="D46" s="456"/>
      <c r="E46" s="456"/>
      <c r="F46" s="456"/>
      <c r="G46" s="456"/>
      <c r="H46" s="456"/>
      <c r="I46" s="456"/>
      <c r="J46" s="456"/>
      <c r="K46" s="456"/>
      <c r="L46" s="456"/>
      <c r="M46" s="456"/>
      <c r="N46" s="893"/>
      <c r="O46" s="401"/>
      <c r="P46" s="2"/>
      <c r="Q46" s="33"/>
      <c r="R46" s="60"/>
      <c r="S46" s="60"/>
      <c r="T46" s="60"/>
      <c r="U46" s="60"/>
      <c r="V46" s="60"/>
    </row>
    <row r="47" spans="1:23" ht="13.5" customHeight="1" x14ac:dyDescent="0.2">
      <c r="A47" s="808"/>
      <c r="B47" s="419"/>
      <c r="C47" s="419"/>
      <c r="D47" s="457" t="s">
        <v>1384</v>
      </c>
      <c r="E47" s="457"/>
      <c r="F47" s="457"/>
      <c r="G47" s="457"/>
      <c r="H47" s="457"/>
      <c r="I47" s="457"/>
      <c r="J47" s="457"/>
      <c r="K47" s="457"/>
      <c r="L47" s="457"/>
      <c r="M47" s="457"/>
      <c r="N47" s="894"/>
      <c r="O47" s="401"/>
      <c r="P47" s="2"/>
      <c r="Q47" s="33"/>
      <c r="R47" s="60"/>
      <c r="S47" s="60"/>
      <c r="T47" s="60"/>
      <c r="U47" s="60"/>
      <c r="V47" s="60"/>
    </row>
    <row r="48" spans="1:23" ht="13.5" customHeight="1" x14ac:dyDescent="0.2">
      <c r="A48" s="808"/>
      <c r="B48" s="419"/>
      <c r="C48" s="419"/>
      <c r="D48" s="458" t="s">
        <v>1</v>
      </c>
      <c r="E48" s="458"/>
      <c r="F48" s="457"/>
      <c r="G48" s="457"/>
      <c r="H48" s="457"/>
      <c r="I48" s="457"/>
      <c r="J48" s="457"/>
      <c r="K48" s="457"/>
      <c r="L48" s="457"/>
      <c r="M48" s="457"/>
      <c r="N48" s="894"/>
      <c r="O48" s="401"/>
      <c r="P48" s="2"/>
      <c r="Q48" s="33"/>
      <c r="R48" s="60"/>
      <c r="S48" s="60"/>
      <c r="T48" s="60"/>
      <c r="U48" s="60"/>
      <c r="V48" s="60"/>
    </row>
    <row r="49" spans="1:22" ht="13.5" customHeight="1" x14ac:dyDescent="0.2">
      <c r="A49" s="808"/>
      <c r="B49" s="419"/>
      <c r="C49" s="419"/>
      <c r="D49" s="458" t="s">
        <v>859</v>
      </c>
      <c r="E49" s="458"/>
      <c r="F49" s="457"/>
      <c r="G49" s="457"/>
      <c r="H49" s="457"/>
      <c r="I49" s="457"/>
      <c r="J49" s="457"/>
      <c r="K49" s="457"/>
      <c r="L49" s="457"/>
      <c r="M49" s="457"/>
      <c r="N49" s="894"/>
      <c r="O49" s="401"/>
      <c r="P49" s="2"/>
      <c r="Q49" s="60"/>
      <c r="R49" s="60"/>
      <c r="S49" s="60"/>
      <c r="T49" s="60"/>
      <c r="U49" s="60"/>
      <c r="V49" s="60"/>
    </row>
    <row r="50" spans="1:22" ht="13.5" customHeight="1" x14ac:dyDescent="0.2">
      <c r="A50" s="808"/>
      <c r="B50" s="419"/>
      <c r="C50" s="419"/>
      <c r="D50" s="458" t="s">
        <v>566</v>
      </c>
      <c r="E50" s="458"/>
      <c r="F50" s="457"/>
      <c r="G50" s="457"/>
      <c r="H50" s="457"/>
      <c r="I50" s="457"/>
      <c r="J50" s="457"/>
      <c r="K50" s="457"/>
      <c r="L50" s="457"/>
      <c r="M50" s="457"/>
      <c r="N50" s="894"/>
      <c r="O50" s="401"/>
      <c r="P50" s="2"/>
      <c r="Q50" s="33"/>
      <c r="R50" s="60"/>
      <c r="S50" s="60"/>
      <c r="T50" s="60"/>
      <c r="U50" s="60"/>
      <c r="V50" s="60"/>
    </row>
    <row r="51" spans="1:22" ht="13.5" customHeight="1" x14ac:dyDescent="0.2">
      <c r="A51" s="808"/>
      <c r="B51" s="419"/>
      <c r="C51" s="419"/>
      <c r="D51" s="458" t="s">
        <v>860</v>
      </c>
      <c r="E51" s="458"/>
      <c r="F51" s="457"/>
      <c r="G51" s="457"/>
      <c r="H51" s="457"/>
      <c r="I51" s="457"/>
      <c r="J51" s="457"/>
      <c r="K51" s="457"/>
      <c r="L51" s="457"/>
      <c r="M51" s="457"/>
      <c r="N51" s="894"/>
      <c r="O51" s="401"/>
      <c r="P51" s="2"/>
      <c r="Q51" s="33"/>
      <c r="R51" s="60"/>
      <c r="S51" s="60"/>
      <c r="T51" s="60"/>
      <c r="U51" s="60"/>
      <c r="V51" s="60"/>
    </row>
    <row r="52" spans="1:22" ht="13.5" customHeight="1" x14ac:dyDescent="0.2">
      <c r="A52" s="808"/>
      <c r="B52" s="419"/>
      <c r="C52" s="419"/>
      <c r="D52" s="458" t="s">
        <v>670</v>
      </c>
      <c r="E52" s="458"/>
      <c r="F52" s="457"/>
      <c r="G52" s="457"/>
      <c r="H52" s="457"/>
      <c r="I52" s="457"/>
      <c r="J52" s="457"/>
      <c r="K52" s="457"/>
      <c r="L52" s="457"/>
      <c r="M52" s="457"/>
      <c r="N52" s="894"/>
      <c r="O52" s="401"/>
      <c r="P52" s="2"/>
      <c r="Q52" s="33"/>
      <c r="R52" s="60"/>
      <c r="S52" s="60"/>
      <c r="T52" s="60"/>
      <c r="U52" s="60"/>
      <c r="V52" s="60"/>
    </row>
    <row r="53" spans="1:22" ht="13.5" customHeight="1" x14ac:dyDescent="0.2">
      <c r="A53" s="808"/>
      <c r="B53" s="1928"/>
      <c r="C53" s="1928"/>
      <c r="D53" s="457" t="s">
        <v>846</v>
      </c>
      <c r="E53" s="457"/>
      <c r="F53" s="459"/>
      <c r="G53" s="459"/>
      <c r="H53" s="459"/>
      <c r="I53" s="459"/>
      <c r="J53" s="459"/>
      <c r="K53" s="459"/>
      <c r="L53" s="459"/>
      <c r="M53" s="459"/>
      <c r="N53" s="895"/>
      <c r="O53" s="401"/>
      <c r="P53" s="2"/>
      <c r="Q53" s="33"/>
      <c r="R53" s="60"/>
      <c r="S53" s="60"/>
      <c r="T53" s="60"/>
      <c r="U53" s="60"/>
      <c r="V53" s="60"/>
    </row>
    <row r="54" spans="1:22" ht="13.5" customHeight="1" x14ac:dyDescent="0.2">
      <c r="A54" s="808"/>
      <c r="B54" s="419"/>
      <c r="C54" s="419"/>
      <c r="D54" s="457" t="s">
        <v>809</v>
      </c>
      <c r="E54" s="457"/>
      <c r="F54" s="459"/>
      <c r="G54" s="459"/>
      <c r="H54" s="459"/>
      <c r="I54" s="459"/>
      <c r="J54" s="459"/>
      <c r="K54" s="459"/>
      <c r="L54" s="459"/>
      <c r="M54" s="459"/>
      <c r="N54" s="895"/>
      <c r="O54" s="401"/>
      <c r="P54" s="2"/>
      <c r="Q54" s="60"/>
      <c r="R54" s="60"/>
      <c r="S54" s="60"/>
      <c r="T54" s="60"/>
      <c r="U54" s="60"/>
      <c r="V54" s="60"/>
    </row>
    <row r="55" spans="1:22" ht="10.5" customHeight="1" thickBot="1" x14ac:dyDescent="0.25">
      <c r="A55" s="808"/>
      <c r="B55" s="896"/>
      <c r="C55" s="896"/>
      <c r="D55" s="897"/>
      <c r="E55" s="897"/>
      <c r="F55" s="898"/>
      <c r="G55" s="898"/>
      <c r="H55" s="898"/>
      <c r="I55" s="898"/>
      <c r="J55" s="898"/>
      <c r="K55" s="898"/>
      <c r="L55" s="898"/>
      <c r="M55" s="898"/>
      <c r="N55" s="899"/>
      <c r="O55" s="401"/>
      <c r="P55" s="2"/>
      <c r="Q55" s="602"/>
      <c r="R55" s="60"/>
      <c r="S55" s="60"/>
      <c r="T55" s="60"/>
      <c r="U55" s="60"/>
      <c r="V55" s="60"/>
    </row>
    <row r="56" spans="1:22" ht="10.5" customHeight="1" x14ac:dyDescent="0.2">
      <c r="A56" s="1"/>
      <c r="B56" s="419"/>
      <c r="C56" s="419"/>
      <c r="D56" s="457"/>
      <c r="E56" s="457"/>
      <c r="F56" s="459"/>
      <c r="G56" s="459"/>
      <c r="H56" s="459"/>
      <c r="I56" s="459"/>
      <c r="J56" s="459"/>
      <c r="K56" s="459"/>
      <c r="L56" s="459"/>
      <c r="M56" s="461"/>
      <c r="N56" s="461"/>
      <c r="O56" s="401"/>
      <c r="P56" s="2"/>
      <c r="Q56" s="602"/>
      <c r="R56" s="60"/>
      <c r="S56" s="60"/>
      <c r="T56" s="60"/>
      <c r="U56" s="60"/>
      <c r="V56" s="60"/>
    </row>
    <row r="57" spans="1:22" ht="15" customHeight="1" x14ac:dyDescent="0.2">
      <c r="A57" s="1"/>
      <c r="B57" s="419"/>
      <c r="C57" s="419"/>
      <c r="D57" s="457"/>
      <c r="E57" s="457"/>
      <c r="F57" s="459"/>
      <c r="G57" s="459"/>
      <c r="H57" s="459"/>
      <c r="I57" s="459"/>
      <c r="J57" s="459"/>
      <c r="K57" s="459"/>
      <c r="L57" s="459"/>
      <c r="M57" s="459"/>
      <c r="N57" s="462"/>
      <c r="O57" s="401"/>
      <c r="P57" s="2"/>
      <c r="Q57" s="602"/>
      <c r="R57" s="60"/>
      <c r="S57" s="60"/>
      <c r="T57" s="60"/>
      <c r="U57" s="60"/>
      <c r="V57" s="60"/>
    </row>
    <row r="58" spans="1:22" ht="15" customHeight="1" x14ac:dyDescent="0.2">
      <c r="A58" s="1"/>
      <c r="B58" s="419"/>
      <c r="C58" s="419"/>
      <c r="D58" s="520"/>
      <c r="E58" s="520"/>
      <c r="F58" s="521"/>
      <c r="G58" s="521"/>
      <c r="H58" s="521"/>
      <c r="I58" s="521"/>
      <c r="J58" s="521"/>
      <c r="K58" s="459"/>
      <c r="L58" s="459"/>
      <c r="M58" s="459"/>
      <c r="N58" s="462"/>
      <c r="O58" s="401"/>
      <c r="P58" s="2"/>
      <c r="Q58" s="602"/>
      <c r="R58" s="60"/>
      <c r="S58" s="60"/>
      <c r="T58" s="60"/>
      <c r="U58" s="60"/>
      <c r="V58" s="60"/>
    </row>
    <row r="59" spans="1:22" ht="15" customHeight="1" x14ac:dyDescent="0.25">
      <c r="A59" s="1"/>
      <c r="B59" s="419"/>
      <c r="C59" s="419"/>
      <c r="D59" s="478" t="s">
        <v>861</v>
      </c>
      <c r="E59" s="478"/>
      <c r="F59" s="521"/>
      <c r="G59" s="521"/>
      <c r="H59" s="521"/>
      <c r="I59" s="521"/>
      <c r="J59" s="521"/>
      <c r="K59" s="459"/>
      <c r="L59" s="459"/>
      <c r="M59" s="459"/>
      <c r="N59" s="462"/>
      <c r="O59" s="401"/>
      <c r="P59" s="2"/>
      <c r="Q59" s="602"/>
      <c r="R59" s="60"/>
      <c r="S59" s="60"/>
      <c r="T59" s="60"/>
      <c r="U59" s="60"/>
      <c r="V59" s="60"/>
    </row>
    <row r="60" spans="1:22" ht="15" customHeight="1" thickBot="1" x14ac:dyDescent="0.25">
      <c r="A60" s="1"/>
      <c r="B60" s="1425"/>
      <c r="C60" s="1425"/>
      <c r="D60" s="1322" t="s">
        <v>818</v>
      </c>
      <c r="E60" s="1322"/>
      <c r="F60" s="1426"/>
      <c r="G60" s="1426"/>
      <c r="H60" s="1426"/>
      <c r="I60" s="1426"/>
      <c r="J60" s="1426"/>
      <c r="K60" s="1426"/>
      <c r="L60" s="1426"/>
      <c r="M60" s="1426"/>
      <c r="N60" s="1426"/>
      <c r="O60" s="401"/>
      <c r="P60" s="2"/>
      <c r="Q60" s="33"/>
      <c r="R60" s="60"/>
      <c r="S60" s="60"/>
      <c r="T60" s="60"/>
      <c r="U60" s="60"/>
      <c r="V60" s="60"/>
    </row>
    <row r="61" spans="1:22" ht="15" customHeight="1" thickTop="1" x14ac:dyDescent="0.2">
      <c r="A61" s="1277"/>
      <c r="B61" s="502" t="s">
        <v>535</v>
      </c>
      <c r="C61" s="919"/>
      <c r="D61" s="920" t="s">
        <v>821</v>
      </c>
      <c r="E61" s="921" t="s">
        <v>820</v>
      </c>
      <c r="F61" s="1424" t="s">
        <v>1362</v>
      </c>
      <c r="G61" s="1103"/>
      <c r="H61" s="923"/>
      <c r="I61" s="923"/>
      <c r="J61" s="923"/>
      <c r="K61" s="923"/>
      <c r="L61" s="923"/>
      <c r="M61" s="919"/>
      <c r="N61" s="1378"/>
      <c r="O61" s="401"/>
      <c r="P61" s="2"/>
      <c r="Q61" s="33"/>
      <c r="R61" s="60"/>
      <c r="S61" s="60"/>
      <c r="T61" s="60"/>
      <c r="U61" s="60"/>
      <c r="V61" s="60"/>
    </row>
    <row r="62" spans="1:22" ht="15" customHeight="1" x14ac:dyDescent="0.2">
      <c r="A62" s="1277"/>
      <c r="B62" s="1710" t="s">
        <v>711</v>
      </c>
      <c r="C62" s="1711"/>
      <c r="D62" s="1712" t="s">
        <v>955</v>
      </c>
      <c r="E62" s="1713" t="s">
        <v>955</v>
      </c>
      <c r="F62" s="1914" t="s">
        <v>931</v>
      </c>
      <c r="G62" s="1915"/>
      <c r="H62" s="1915"/>
      <c r="I62" s="1915"/>
      <c r="J62" s="1915"/>
      <c r="K62" s="1915"/>
      <c r="L62" s="1915"/>
      <c r="M62" s="1915"/>
      <c r="N62" s="1916"/>
      <c r="O62" s="401"/>
      <c r="P62" s="2"/>
      <c r="Q62" s="60"/>
      <c r="R62" s="60"/>
      <c r="S62" s="60"/>
      <c r="T62" s="60"/>
      <c r="U62" s="60"/>
      <c r="V62" s="60"/>
    </row>
    <row r="63" spans="1:22" ht="37.5" customHeight="1" x14ac:dyDescent="0.2">
      <c r="A63" s="1277"/>
      <c r="B63" s="1545" t="s">
        <v>712</v>
      </c>
      <c r="C63" s="1546"/>
      <c r="D63" s="1177">
        <f>ЭБ11</f>
        <v>42000</v>
      </c>
      <c r="E63" s="1177">
        <f>SUM(D63*1.25)</f>
        <v>52500</v>
      </c>
      <c r="F63" s="1879" t="s">
        <v>397</v>
      </c>
      <c r="G63" s="1874"/>
      <c r="H63" s="1874"/>
      <c r="I63" s="1874"/>
      <c r="J63" s="1874"/>
      <c r="K63" s="1874"/>
      <c r="L63" s="1874"/>
      <c r="M63" s="1874"/>
      <c r="N63" s="1917"/>
      <c r="O63" s="401"/>
      <c r="P63" s="2"/>
      <c r="Q63" s="33"/>
      <c r="R63" s="60"/>
      <c r="S63" s="60"/>
      <c r="T63" s="60"/>
      <c r="U63" s="60"/>
      <c r="V63" s="60"/>
    </row>
    <row r="64" spans="1:22" ht="15" customHeight="1" x14ac:dyDescent="0.2">
      <c r="A64" s="1277"/>
      <c r="B64" s="1714" t="s">
        <v>713</v>
      </c>
      <c r="C64" s="1715"/>
      <c r="D64" s="1716" t="s">
        <v>955</v>
      </c>
      <c r="E64" s="1716" t="s">
        <v>955</v>
      </c>
      <c r="F64" s="1914" t="s">
        <v>932</v>
      </c>
      <c r="G64" s="1915"/>
      <c r="H64" s="1915"/>
      <c r="I64" s="1915"/>
      <c r="J64" s="1915"/>
      <c r="K64" s="1915"/>
      <c r="L64" s="1915"/>
      <c r="M64" s="1915"/>
      <c r="N64" s="1916"/>
      <c r="O64" s="401"/>
      <c r="P64" s="2"/>
      <c r="Q64" s="60"/>
      <c r="R64" s="60"/>
      <c r="S64" s="60"/>
      <c r="T64" s="60"/>
      <c r="U64" s="60"/>
      <c r="V64" s="60"/>
    </row>
    <row r="65" spans="1:22" ht="37.5" customHeight="1" thickBot="1" x14ac:dyDescent="0.25">
      <c r="A65" s="1277"/>
      <c r="B65" s="1427" t="s">
        <v>714</v>
      </c>
      <c r="C65" s="1429"/>
      <c r="D65" s="1430">
        <f>ЭБ13</f>
        <v>46200</v>
      </c>
      <c r="E65" s="1430">
        <f>SUM(D65*1.25)</f>
        <v>57750</v>
      </c>
      <c r="F65" s="1906" t="s">
        <v>400</v>
      </c>
      <c r="G65" s="1907"/>
      <c r="H65" s="1907"/>
      <c r="I65" s="1907"/>
      <c r="J65" s="1907"/>
      <c r="K65" s="1907"/>
      <c r="L65" s="1907"/>
      <c r="M65" s="1907"/>
      <c r="N65" s="1908"/>
      <c r="O65" s="401"/>
      <c r="P65" s="2"/>
      <c r="Q65" s="33"/>
      <c r="R65" s="60"/>
      <c r="S65" s="60"/>
      <c r="T65" s="60"/>
      <c r="U65" s="60"/>
      <c r="V65" s="60"/>
    </row>
    <row r="66" spans="1:22" ht="15" customHeight="1" thickTop="1" x14ac:dyDescent="0.2">
      <c r="A66" s="2"/>
      <c r="B66" s="393"/>
      <c r="C66" s="419"/>
      <c r="D66" s="641"/>
      <c r="E66" s="641"/>
      <c r="F66" s="459"/>
      <c r="G66" s="459"/>
      <c r="H66" s="459"/>
      <c r="I66" s="459"/>
      <c r="J66" s="459"/>
      <c r="K66" s="459"/>
      <c r="L66" s="459"/>
      <c r="M66" s="462"/>
      <c r="N66" s="254"/>
      <c r="O66" s="401"/>
      <c r="P66" s="2"/>
      <c r="Q66" s="33"/>
      <c r="R66" s="60"/>
      <c r="S66" s="60"/>
      <c r="T66" s="60"/>
      <c r="U66" s="60"/>
      <c r="V66" s="60"/>
    </row>
    <row r="67" spans="1:22" ht="15" customHeight="1" x14ac:dyDescent="0.2">
      <c r="A67" s="2"/>
      <c r="B67" s="419"/>
      <c r="C67" s="419"/>
      <c r="D67" s="457"/>
      <c r="E67" s="457"/>
      <c r="F67" s="459"/>
      <c r="G67" s="459"/>
      <c r="H67" s="459"/>
      <c r="I67" s="459"/>
      <c r="J67" s="459"/>
      <c r="K67" s="459"/>
      <c r="L67" s="459"/>
      <c r="M67" s="462"/>
      <c r="N67" s="462"/>
      <c r="O67" s="401"/>
      <c r="P67" s="2"/>
      <c r="Q67" s="33"/>
      <c r="R67" s="60"/>
      <c r="S67" s="60"/>
      <c r="T67" s="60"/>
      <c r="U67" s="60"/>
      <c r="V67" s="60"/>
    </row>
    <row r="68" spans="1:22" ht="15" customHeight="1" x14ac:dyDescent="0.2">
      <c r="A68" s="2"/>
      <c r="B68" s="419"/>
      <c r="C68" s="419"/>
      <c r="D68" s="520"/>
      <c r="E68" s="520"/>
      <c r="F68" s="521"/>
      <c r="G68" s="521"/>
      <c r="H68" s="521"/>
      <c r="I68" s="521"/>
      <c r="J68" s="521"/>
      <c r="K68" s="459"/>
      <c r="L68" s="459"/>
      <c r="M68" s="459"/>
      <c r="N68" s="462"/>
      <c r="O68" s="401"/>
      <c r="P68" s="2"/>
      <c r="Q68" s="33"/>
      <c r="R68" s="60"/>
      <c r="S68" s="60"/>
      <c r="T68" s="60"/>
      <c r="U68" s="60"/>
      <c r="V68" s="60"/>
    </row>
    <row r="69" spans="1:22" ht="15" customHeight="1" x14ac:dyDescent="0.25">
      <c r="A69" s="2"/>
      <c r="B69" s="419"/>
      <c r="C69" s="419"/>
      <c r="D69" s="478" t="s">
        <v>1363</v>
      </c>
      <c r="E69" s="478"/>
      <c r="F69" s="521"/>
      <c r="G69" s="521"/>
      <c r="H69" s="521"/>
      <c r="I69" s="521"/>
      <c r="J69" s="521"/>
      <c r="K69" s="459"/>
      <c r="L69" s="459"/>
      <c r="M69" s="459"/>
      <c r="N69" s="462"/>
      <c r="O69" s="401"/>
      <c r="P69" s="2"/>
      <c r="Q69" s="593"/>
      <c r="R69" s="60"/>
      <c r="S69" s="60"/>
      <c r="T69" s="60"/>
      <c r="U69" s="60"/>
      <c r="V69" s="60"/>
    </row>
    <row r="70" spans="1:22" ht="15" customHeight="1" thickBot="1" x14ac:dyDescent="0.25">
      <c r="A70" s="2"/>
      <c r="B70" s="1425"/>
      <c r="C70" s="1425"/>
      <c r="D70" s="1322" t="s">
        <v>818</v>
      </c>
      <c r="E70" s="1322"/>
      <c r="F70" s="1426"/>
      <c r="G70" s="1426"/>
      <c r="H70" s="1426"/>
      <c r="I70" s="1426"/>
      <c r="J70" s="1426"/>
      <c r="K70" s="1426"/>
      <c r="L70" s="1426"/>
      <c r="M70" s="1426"/>
      <c r="N70" s="1426"/>
      <c r="O70" s="401"/>
      <c r="P70" s="2"/>
      <c r="Q70" s="60"/>
      <c r="R70" s="60"/>
      <c r="S70" s="60"/>
      <c r="T70" s="60"/>
      <c r="U70" s="60"/>
      <c r="V70" s="60"/>
    </row>
    <row r="71" spans="1:22" ht="15" customHeight="1" thickTop="1" x14ac:dyDescent="0.2">
      <c r="A71" s="1277"/>
      <c r="B71" s="918" t="s">
        <v>535</v>
      </c>
      <c r="C71" s="919"/>
      <c r="D71" s="920" t="s">
        <v>821</v>
      </c>
      <c r="E71" s="921" t="s">
        <v>820</v>
      </c>
      <c r="F71" s="1424" t="s">
        <v>1362</v>
      </c>
      <c r="G71" s="1103"/>
      <c r="H71" s="923"/>
      <c r="I71" s="923"/>
      <c r="J71" s="923"/>
      <c r="K71" s="923"/>
      <c r="L71" s="923"/>
      <c r="M71" s="919"/>
      <c r="N71" s="1378"/>
      <c r="O71" s="401"/>
      <c r="P71" s="2"/>
      <c r="Q71" s="602"/>
      <c r="R71" s="60"/>
      <c r="S71" s="60"/>
      <c r="T71" s="60"/>
      <c r="U71" s="60"/>
      <c r="V71" s="60"/>
    </row>
    <row r="72" spans="1:22" ht="15" customHeight="1" x14ac:dyDescent="0.2">
      <c r="A72" s="1277"/>
      <c r="B72" s="1714" t="s">
        <v>810</v>
      </c>
      <c r="C72" s="1711"/>
      <c r="D72" s="1717" t="s">
        <v>955</v>
      </c>
      <c r="E72" s="1717" t="s">
        <v>955</v>
      </c>
      <c r="F72" s="1914" t="s">
        <v>933</v>
      </c>
      <c r="G72" s="1915"/>
      <c r="H72" s="1915"/>
      <c r="I72" s="1915"/>
      <c r="J72" s="1915"/>
      <c r="K72" s="1915"/>
      <c r="L72" s="1915"/>
      <c r="M72" s="1915"/>
      <c r="N72" s="1916"/>
      <c r="O72" s="401"/>
      <c r="P72" s="2"/>
      <c r="Q72" s="602"/>
      <c r="R72" s="60"/>
      <c r="S72" s="60"/>
      <c r="T72" s="60"/>
      <c r="U72" s="60"/>
      <c r="V72" s="60"/>
    </row>
    <row r="73" spans="1:22" ht="39" customHeight="1" x14ac:dyDescent="0.2">
      <c r="A73" s="1277"/>
      <c r="B73" s="900" t="s">
        <v>811</v>
      </c>
      <c r="C73" s="1428"/>
      <c r="D73" s="1431">
        <f>ЭБ31</f>
        <v>58800</v>
      </c>
      <c r="E73" s="1431">
        <f>SUM(D73*1.25)</f>
        <v>73500</v>
      </c>
      <c r="F73" s="1879" t="s">
        <v>398</v>
      </c>
      <c r="G73" s="1874"/>
      <c r="H73" s="1874"/>
      <c r="I73" s="1874"/>
      <c r="J73" s="1874"/>
      <c r="K73" s="1874"/>
      <c r="L73" s="1874"/>
      <c r="M73" s="1874"/>
      <c r="N73" s="1917"/>
      <c r="O73" s="401"/>
      <c r="P73" s="2"/>
      <c r="Q73" s="33"/>
      <c r="R73" s="60"/>
      <c r="S73" s="60"/>
      <c r="T73" s="60"/>
      <c r="U73" s="60"/>
      <c r="V73" s="60"/>
    </row>
    <row r="74" spans="1:22" ht="15" customHeight="1" x14ac:dyDescent="0.2">
      <c r="A74" s="1277"/>
      <c r="B74" s="1714" t="s">
        <v>812</v>
      </c>
      <c r="C74" s="1718"/>
      <c r="D74" s="1719" t="s">
        <v>955</v>
      </c>
      <c r="E74" s="1719" t="s">
        <v>955</v>
      </c>
      <c r="F74" s="1914" t="s">
        <v>934</v>
      </c>
      <c r="G74" s="1915"/>
      <c r="H74" s="1915"/>
      <c r="I74" s="1915"/>
      <c r="J74" s="1915"/>
      <c r="K74" s="1915"/>
      <c r="L74" s="1915"/>
      <c r="M74" s="1915"/>
      <c r="N74" s="1916"/>
      <c r="O74" s="401"/>
      <c r="P74" s="2"/>
      <c r="Q74" s="593"/>
      <c r="R74" s="60"/>
      <c r="S74" s="60"/>
      <c r="T74" s="60"/>
      <c r="U74" s="60"/>
      <c r="V74" s="60"/>
    </row>
    <row r="75" spans="1:22" ht="48.75" customHeight="1" thickBot="1" x14ac:dyDescent="0.25">
      <c r="A75" s="1277"/>
      <c r="B75" s="1427" t="s">
        <v>813</v>
      </c>
      <c r="C75" s="1429"/>
      <c r="D75" s="1432">
        <f>ЭБ33</f>
        <v>63000</v>
      </c>
      <c r="E75" s="1432">
        <f>SUM(D75*1.25)</f>
        <v>78750</v>
      </c>
      <c r="F75" s="1906" t="s">
        <v>399</v>
      </c>
      <c r="G75" s="1907"/>
      <c r="H75" s="1907"/>
      <c r="I75" s="1907"/>
      <c r="J75" s="1907"/>
      <c r="K75" s="1907"/>
      <c r="L75" s="1907"/>
      <c r="M75" s="1907"/>
      <c r="N75" s="1908"/>
      <c r="O75" s="401"/>
      <c r="P75" s="2"/>
      <c r="Q75" s="60"/>
      <c r="R75" s="60"/>
      <c r="S75" s="60"/>
      <c r="T75" s="60"/>
      <c r="U75" s="60"/>
      <c r="V75" s="60"/>
    </row>
    <row r="76" spans="1:22" ht="15" customHeight="1" thickTop="1" x14ac:dyDescent="0.2">
      <c r="A76" s="1"/>
      <c r="B76" s="393"/>
      <c r="C76" s="419"/>
      <c r="D76" s="463"/>
      <c r="E76" s="463"/>
      <c r="F76" s="370"/>
      <c r="G76" s="370"/>
      <c r="H76" s="370"/>
      <c r="I76" s="370"/>
      <c r="J76" s="370"/>
      <c r="K76" s="370"/>
      <c r="L76" s="397"/>
      <c r="M76" s="397"/>
      <c r="N76" s="254"/>
      <c r="O76" s="401"/>
      <c r="P76" s="2"/>
      <c r="Q76" s="33"/>
      <c r="R76" s="60"/>
      <c r="S76" s="60"/>
      <c r="T76" s="60"/>
      <c r="U76" s="60"/>
      <c r="V76" s="60"/>
    </row>
    <row r="77" spans="1:22" ht="15" customHeight="1" x14ac:dyDescent="0.2">
      <c r="A77" s="1"/>
      <c r="B77" s="419"/>
      <c r="C77" s="419"/>
      <c r="D77" s="457"/>
      <c r="E77" s="457"/>
      <c r="F77" s="459"/>
      <c r="G77" s="459"/>
      <c r="H77" s="459"/>
      <c r="I77" s="459"/>
      <c r="J77" s="459"/>
      <c r="K77" s="459"/>
      <c r="L77" s="459"/>
      <c r="M77" s="462"/>
      <c r="N77" s="462"/>
      <c r="O77" s="401"/>
      <c r="P77" s="2"/>
      <c r="Q77" s="33"/>
      <c r="R77" s="60"/>
      <c r="S77" s="60"/>
      <c r="T77" s="60"/>
      <c r="U77" s="60"/>
      <c r="V77" s="60"/>
    </row>
    <row r="78" spans="1:22" ht="15" customHeight="1" x14ac:dyDescent="0.2">
      <c r="A78" s="1"/>
      <c r="B78" s="419"/>
      <c r="C78" s="419"/>
      <c r="D78" s="520"/>
      <c r="E78" s="520"/>
      <c r="F78" s="521"/>
      <c r="G78" s="521"/>
      <c r="H78" s="521"/>
      <c r="I78" s="521"/>
      <c r="J78" s="521"/>
      <c r="K78" s="459"/>
      <c r="L78" s="459"/>
      <c r="M78" s="459"/>
      <c r="N78" s="462"/>
      <c r="O78" s="401"/>
      <c r="P78" s="2"/>
      <c r="Q78" s="60"/>
      <c r="R78" s="60"/>
      <c r="S78" s="60"/>
      <c r="T78" s="60"/>
      <c r="U78" s="60"/>
      <c r="V78" s="60"/>
    </row>
    <row r="79" spans="1:22" ht="15" customHeight="1" x14ac:dyDescent="0.25">
      <c r="A79" s="1"/>
      <c r="B79" s="419"/>
      <c r="C79" s="419"/>
      <c r="D79" s="478" t="s">
        <v>1334</v>
      </c>
      <c r="E79" s="478"/>
      <c r="F79" s="521"/>
      <c r="G79" s="521"/>
      <c r="H79" s="521"/>
      <c r="I79" s="521"/>
      <c r="J79" s="521"/>
      <c r="K79" s="459"/>
      <c r="L79" s="459"/>
      <c r="M79" s="459"/>
      <c r="N79" s="462"/>
      <c r="O79" s="401"/>
      <c r="P79" s="2"/>
      <c r="Q79" s="33"/>
      <c r="R79" s="60"/>
      <c r="S79" s="60"/>
      <c r="T79" s="60"/>
      <c r="U79" s="60"/>
      <c r="V79" s="60"/>
    </row>
    <row r="80" spans="1:22" ht="15" customHeight="1" thickBot="1" x14ac:dyDescent="0.25">
      <c r="A80" s="1"/>
      <c r="B80" s="1425"/>
      <c r="C80" s="1425"/>
      <c r="D80" s="1322" t="s">
        <v>818</v>
      </c>
      <c r="E80" s="1322"/>
      <c r="F80" s="1426"/>
      <c r="G80" s="1426"/>
      <c r="H80" s="1426"/>
      <c r="I80" s="1426"/>
      <c r="J80" s="1426"/>
      <c r="K80" s="1426"/>
      <c r="L80" s="1426"/>
      <c r="M80" s="1426"/>
      <c r="N80" s="1426"/>
      <c r="O80" s="401"/>
      <c r="P80" s="2"/>
      <c r="Q80" s="60"/>
      <c r="R80" s="60"/>
      <c r="S80" s="60"/>
      <c r="T80" s="60"/>
      <c r="U80" s="60"/>
      <c r="V80" s="60"/>
    </row>
    <row r="81" spans="1:22" ht="15" customHeight="1" thickTop="1" x14ac:dyDescent="0.2">
      <c r="A81" s="1277"/>
      <c r="B81" s="502" t="s">
        <v>535</v>
      </c>
      <c r="C81" s="919"/>
      <c r="D81" s="920" t="s">
        <v>821</v>
      </c>
      <c r="E81" s="921" t="s">
        <v>820</v>
      </c>
      <c r="F81" s="1424" t="s">
        <v>1362</v>
      </c>
      <c r="G81" s="1103"/>
      <c r="H81" s="923"/>
      <c r="I81" s="923"/>
      <c r="J81" s="923"/>
      <c r="K81" s="923"/>
      <c r="L81" s="923"/>
      <c r="M81" s="919"/>
      <c r="N81" s="1378"/>
      <c r="O81" s="401"/>
      <c r="P81" s="2"/>
      <c r="Q81" s="33"/>
      <c r="R81" s="60"/>
      <c r="S81" s="60"/>
      <c r="T81" s="60"/>
      <c r="U81" s="60"/>
      <c r="V81" s="60"/>
    </row>
    <row r="82" spans="1:22" ht="15" customHeight="1" x14ac:dyDescent="0.2">
      <c r="A82" s="1277"/>
      <c r="B82" s="1710" t="s">
        <v>814</v>
      </c>
      <c r="C82" s="1711"/>
      <c r="D82" s="1717" t="s">
        <v>955</v>
      </c>
      <c r="E82" s="1717" t="s">
        <v>955</v>
      </c>
      <c r="F82" s="1914" t="s">
        <v>935</v>
      </c>
      <c r="G82" s="1915"/>
      <c r="H82" s="1915"/>
      <c r="I82" s="1915"/>
      <c r="J82" s="1915"/>
      <c r="K82" s="1915"/>
      <c r="L82" s="1915"/>
      <c r="M82" s="1915"/>
      <c r="N82" s="1916"/>
      <c r="O82" s="401"/>
      <c r="P82" s="2"/>
      <c r="Q82" s="60"/>
      <c r="R82" s="60"/>
      <c r="S82" s="60"/>
      <c r="T82" s="60"/>
      <c r="U82" s="60"/>
      <c r="V82" s="60"/>
    </row>
    <row r="83" spans="1:22" ht="38.25" customHeight="1" x14ac:dyDescent="0.2">
      <c r="A83" s="1277"/>
      <c r="B83" s="900" t="s">
        <v>815</v>
      </c>
      <c r="C83" s="1428"/>
      <c r="D83" s="1431">
        <f>ЭБ21</f>
        <v>50400</v>
      </c>
      <c r="E83" s="1431">
        <f>SUM(D83*1.25)</f>
        <v>63000</v>
      </c>
      <c r="F83" s="1879" t="s">
        <v>938</v>
      </c>
      <c r="G83" s="1874"/>
      <c r="H83" s="1874"/>
      <c r="I83" s="1874"/>
      <c r="J83" s="1874"/>
      <c r="K83" s="1874"/>
      <c r="L83" s="1874"/>
      <c r="M83" s="1874"/>
      <c r="N83" s="1917"/>
      <c r="O83" s="401"/>
      <c r="P83" s="2"/>
      <c r="Q83" s="602"/>
      <c r="R83" s="60"/>
      <c r="S83" s="60"/>
      <c r="T83" s="60"/>
      <c r="U83" s="60"/>
      <c r="V83" s="60"/>
    </row>
    <row r="84" spans="1:22" ht="15" customHeight="1" x14ac:dyDescent="0.2">
      <c r="A84" s="1277"/>
      <c r="B84" s="1714" t="s">
        <v>816</v>
      </c>
      <c r="C84" s="1718"/>
      <c r="D84" s="1719" t="s">
        <v>955</v>
      </c>
      <c r="E84" s="1719" t="s">
        <v>955</v>
      </c>
      <c r="F84" s="1914" t="s">
        <v>936</v>
      </c>
      <c r="G84" s="1915"/>
      <c r="H84" s="1915"/>
      <c r="I84" s="1915"/>
      <c r="J84" s="1915"/>
      <c r="K84" s="1915"/>
      <c r="L84" s="1915"/>
      <c r="M84" s="1915"/>
      <c r="N84" s="1916"/>
      <c r="O84" s="401"/>
      <c r="P84" s="2"/>
      <c r="Q84" s="602"/>
      <c r="R84" s="60"/>
      <c r="S84" s="60"/>
      <c r="T84" s="60"/>
      <c r="U84" s="60"/>
      <c r="V84" s="60"/>
    </row>
    <row r="85" spans="1:22" ht="38.25" customHeight="1" thickBot="1" x14ac:dyDescent="0.25">
      <c r="A85" s="1277"/>
      <c r="B85" s="1427" t="s">
        <v>37</v>
      </c>
      <c r="C85" s="1429"/>
      <c r="D85" s="1432">
        <f>ЭБ23</f>
        <v>60200</v>
      </c>
      <c r="E85" s="1432">
        <f>SUM(D85*1.25)</f>
        <v>75250</v>
      </c>
      <c r="F85" s="1906" t="s">
        <v>401</v>
      </c>
      <c r="G85" s="1907"/>
      <c r="H85" s="1907"/>
      <c r="I85" s="1907"/>
      <c r="J85" s="1907"/>
      <c r="K85" s="1907"/>
      <c r="L85" s="1907"/>
      <c r="M85" s="1907"/>
      <c r="N85" s="1908"/>
      <c r="O85" s="401"/>
      <c r="P85" s="2"/>
      <c r="Q85" s="33"/>
      <c r="R85" s="60"/>
      <c r="S85" s="60"/>
      <c r="T85" s="60"/>
      <c r="U85" s="60"/>
      <c r="V85" s="60"/>
    </row>
    <row r="86" spans="1:22" ht="15" customHeight="1" thickTop="1" x14ac:dyDescent="0.2">
      <c r="A86" s="1"/>
      <c r="B86" s="393"/>
      <c r="C86" s="419"/>
      <c r="D86" s="463"/>
      <c r="E86" s="463"/>
      <c r="F86" s="370"/>
      <c r="G86" s="370"/>
      <c r="H86" s="370"/>
      <c r="I86" s="370"/>
      <c r="J86" s="370"/>
      <c r="K86" s="370"/>
      <c r="L86" s="397"/>
      <c r="M86" s="397"/>
      <c r="N86" s="254"/>
      <c r="O86" s="401"/>
      <c r="P86" s="2"/>
      <c r="Q86" s="33"/>
      <c r="R86" s="60"/>
      <c r="S86" s="60"/>
      <c r="T86" s="60"/>
      <c r="U86" s="60"/>
      <c r="V86" s="60"/>
    </row>
    <row r="87" spans="1:22" ht="15" customHeight="1" x14ac:dyDescent="0.2">
      <c r="A87" s="1"/>
      <c r="B87" s="393"/>
      <c r="C87" s="419"/>
      <c r="D87" s="642"/>
      <c r="E87" s="463"/>
      <c r="F87" s="370"/>
      <c r="G87" s="370"/>
      <c r="H87" s="370"/>
      <c r="I87" s="370"/>
      <c r="J87" s="370"/>
      <c r="K87" s="370"/>
      <c r="L87" s="397"/>
      <c r="M87" s="397"/>
      <c r="N87" s="254"/>
      <c r="O87" s="401"/>
      <c r="P87" s="2"/>
      <c r="Q87" s="60"/>
      <c r="R87" s="60"/>
      <c r="S87" s="60"/>
      <c r="T87" s="60"/>
      <c r="U87" s="60"/>
      <c r="V87" s="60"/>
    </row>
    <row r="88" spans="1:22" ht="29.25" customHeight="1" x14ac:dyDescent="0.2">
      <c r="A88" s="1"/>
      <c r="B88" s="552" t="s">
        <v>316</v>
      </c>
      <c r="C88" s="1542"/>
      <c r="D88" s="387"/>
      <c r="E88" s="387"/>
      <c r="F88" s="384"/>
      <c r="G88" s="1543" t="s">
        <v>831</v>
      </c>
      <c r="H88" s="1543"/>
      <c r="I88" s="385"/>
      <c r="J88" s="386"/>
      <c r="K88" s="386"/>
      <c r="L88" s="386"/>
      <c r="M88" s="386"/>
      <c r="N88" s="386"/>
      <c r="O88" s="467"/>
      <c r="P88" s="60"/>
      <c r="Q88" s="602"/>
      <c r="R88" s="60"/>
      <c r="S88" s="60"/>
      <c r="T88" s="60"/>
      <c r="U88" s="60"/>
      <c r="V88" s="60"/>
    </row>
    <row r="89" spans="1:22" ht="15" customHeight="1" x14ac:dyDescent="0.2">
      <c r="A89" s="1"/>
      <c r="B89" s="468"/>
      <c r="C89" s="274"/>
      <c r="D89" s="642" t="s">
        <v>819</v>
      </c>
      <c r="E89" s="389"/>
      <c r="F89" s="390"/>
      <c r="G89" s="230"/>
      <c r="H89" s="1544"/>
      <c r="I89" s="230"/>
      <c r="J89" s="219"/>
      <c r="K89" s="219"/>
      <c r="L89" s="219"/>
      <c r="M89" s="219"/>
      <c r="N89" s="219"/>
      <c r="O89" s="467"/>
      <c r="P89" s="60"/>
      <c r="Q89" s="602"/>
      <c r="R89" s="60"/>
      <c r="S89" s="60"/>
      <c r="T89" s="60"/>
      <c r="U89" s="60"/>
      <c r="V89" s="60"/>
    </row>
    <row r="90" spans="1:22" ht="15" customHeight="1" x14ac:dyDescent="0.2">
      <c r="A90" s="808"/>
      <c r="B90" s="918" t="s">
        <v>535</v>
      </c>
      <c r="C90" s="919"/>
      <c r="D90" s="920" t="s">
        <v>821</v>
      </c>
      <c r="E90" s="921" t="s">
        <v>820</v>
      </c>
      <c r="F90" s="1001" t="s">
        <v>696</v>
      </c>
      <c r="G90" s="922"/>
      <c r="H90" s="923"/>
      <c r="I90" s="923"/>
      <c r="J90" s="923"/>
      <c r="K90" s="923"/>
      <c r="L90" s="923"/>
      <c r="M90" s="919"/>
      <c r="N90" s="924"/>
      <c r="O90" s="467"/>
      <c r="P90" s="60"/>
      <c r="Q90" s="33"/>
      <c r="R90" s="60"/>
      <c r="S90" s="60"/>
      <c r="T90" s="60"/>
      <c r="U90" s="60"/>
      <c r="V90" s="60"/>
    </row>
    <row r="91" spans="1:22" ht="15" customHeight="1" x14ac:dyDescent="0.2">
      <c r="A91" s="808"/>
      <c r="B91" s="912" t="s">
        <v>34</v>
      </c>
      <c r="C91" s="360"/>
      <c r="D91" s="367"/>
      <c r="E91" s="367"/>
      <c r="F91" s="367"/>
      <c r="G91" s="361"/>
      <c r="H91" s="362"/>
      <c r="I91" s="368"/>
      <c r="J91" s="368"/>
      <c r="K91" s="368"/>
      <c r="L91" s="368"/>
      <c r="M91" s="368"/>
      <c r="N91" s="916"/>
      <c r="O91" s="467"/>
      <c r="P91" s="2"/>
      <c r="Q91" s="60"/>
      <c r="R91" s="60"/>
      <c r="S91" s="60"/>
      <c r="T91" s="60"/>
      <c r="U91" s="60"/>
      <c r="V91" s="60"/>
    </row>
    <row r="92" spans="1:22" ht="15" customHeight="1" x14ac:dyDescent="0.25">
      <c r="A92" s="808"/>
      <c r="B92" s="912"/>
      <c r="C92" s="360"/>
      <c r="D92" s="359" t="s">
        <v>995</v>
      </c>
      <c r="E92" s="359"/>
      <c r="F92" s="367"/>
      <c r="G92" s="361"/>
      <c r="H92" s="362"/>
      <c r="I92" s="368"/>
      <c r="J92" s="368"/>
      <c r="K92" s="368"/>
      <c r="L92" s="368"/>
      <c r="M92" s="368"/>
      <c r="N92" s="916"/>
      <c r="O92" s="467"/>
      <c r="P92" s="2"/>
      <c r="Q92" s="33"/>
      <c r="R92" s="60"/>
      <c r="S92" s="60"/>
      <c r="T92" s="60"/>
      <c r="U92" s="60"/>
      <c r="V92" s="60"/>
    </row>
    <row r="93" spans="1:22" ht="15" customHeight="1" x14ac:dyDescent="0.25">
      <c r="A93" s="808"/>
      <c r="B93" s="913"/>
      <c r="C93" s="359"/>
      <c r="D93" s="359"/>
      <c r="E93" s="359"/>
      <c r="F93" s="365"/>
      <c r="G93" s="366"/>
      <c r="H93" s="366"/>
      <c r="I93" s="364"/>
      <c r="J93" s="364"/>
      <c r="K93" s="364"/>
      <c r="L93" s="363"/>
      <c r="M93" s="364"/>
      <c r="N93" s="917"/>
      <c r="O93" s="467"/>
      <c r="P93" s="2"/>
      <c r="Q93" s="33"/>
      <c r="R93" s="60"/>
      <c r="S93" s="60"/>
      <c r="T93" s="60"/>
      <c r="U93" s="60"/>
      <c r="V93" s="60"/>
    </row>
    <row r="94" spans="1:22" ht="24" customHeight="1" thickBot="1" x14ac:dyDescent="0.25">
      <c r="A94" s="808"/>
      <c r="B94" s="914" t="s">
        <v>145</v>
      </c>
      <c r="C94" s="1433"/>
      <c r="D94" s="1435">
        <f>Опц_ИБП_ЭБ</f>
        <v>14000</v>
      </c>
      <c r="E94" s="1435">
        <f t="shared" ref="E94:E105" si="0">SUM(D94*1.25)</f>
        <v>17500</v>
      </c>
      <c r="F94" s="1919" t="s">
        <v>0</v>
      </c>
      <c r="G94" s="1920"/>
      <c r="H94" s="1920"/>
      <c r="I94" s="1920"/>
      <c r="J94" s="1920"/>
      <c r="K94" s="1920"/>
      <c r="L94" s="1920"/>
      <c r="M94" s="1920"/>
      <c r="N94" s="1921"/>
      <c r="O94" s="467"/>
      <c r="P94" s="2"/>
      <c r="Q94" s="60"/>
      <c r="R94" s="60"/>
      <c r="S94" s="60"/>
      <c r="T94" s="60"/>
      <c r="U94" s="60"/>
      <c r="V94" s="60"/>
    </row>
    <row r="95" spans="1:22" ht="24" customHeight="1" x14ac:dyDescent="0.2">
      <c r="A95" s="808"/>
      <c r="B95" s="900" t="s">
        <v>803</v>
      </c>
      <c r="C95" s="1332"/>
      <c r="D95" s="1177">
        <f>Опц_1236В</f>
        <v>1400</v>
      </c>
      <c r="E95" s="1177">
        <f t="shared" si="0"/>
        <v>1750</v>
      </c>
      <c r="F95" s="1876" t="s">
        <v>804</v>
      </c>
      <c r="G95" s="1877"/>
      <c r="H95" s="1877"/>
      <c r="I95" s="1877"/>
      <c r="J95" s="1877"/>
      <c r="K95" s="1877"/>
      <c r="L95" s="1877"/>
      <c r="M95" s="1877"/>
      <c r="N95" s="1878"/>
      <c r="O95" s="467"/>
      <c r="P95" s="2"/>
      <c r="Q95" s="602"/>
      <c r="R95" s="60"/>
      <c r="S95" s="60"/>
      <c r="T95" s="60"/>
      <c r="U95" s="60"/>
      <c r="V95" s="60"/>
    </row>
    <row r="96" spans="1:22" ht="24" customHeight="1" x14ac:dyDescent="0.2">
      <c r="A96" s="808"/>
      <c r="B96" s="915" t="s">
        <v>403</v>
      </c>
      <c r="C96" s="1434"/>
      <c r="D96" s="1256">
        <f>Опц_24ИБП</f>
        <v>15400</v>
      </c>
      <c r="E96" s="1256">
        <f t="shared" si="0"/>
        <v>19250</v>
      </c>
      <c r="F96" s="1880" t="s">
        <v>678</v>
      </c>
      <c r="G96" s="1881"/>
      <c r="H96" s="1881"/>
      <c r="I96" s="1881"/>
      <c r="J96" s="1881"/>
      <c r="K96" s="1881"/>
      <c r="L96" s="1881"/>
      <c r="M96" s="1881"/>
      <c r="N96" s="1882"/>
      <c r="O96" s="467"/>
      <c r="P96" s="2"/>
      <c r="Q96" s="33"/>
      <c r="R96" s="60"/>
      <c r="S96" s="60"/>
      <c r="T96" s="60"/>
      <c r="U96" s="60"/>
      <c r="V96" s="60"/>
    </row>
    <row r="97" spans="1:22" ht="24" customHeight="1" x14ac:dyDescent="0.2">
      <c r="A97" s="808"/>
      <c r="B97" s="900" t="s">
        <v>402</v>
      </c>
      <c r="C97" s="1332"/>
      <c r="D97" s="1177">
        <f>Опц_RS485</f>
        <v>8400</v>
      </c>
      <c r="E97" s="1177">
        <f>SUM(D97*1.25)</f>
        <v>10500</v>
      </c>
      <c r="F97" s="1883" t="s">
        <v>376</v>
      </c>
      <c r="G97" s="1874"/>
      <c r="H97" s="1874"/>
      <c r="I97" s="1874"/>
      <c r="J97" s="1874"/>
      <c r="K97" s="1874"/>
      <c r="L97" s="1874"/>
      <c r="M97" s="1874"/>
      <c r="N97" s="1875"/>
      <c r="O97" s="467"/>
      <c r="P97" s="2"/>
      <c r="Q97" s="33"/>
      <c r="R97" s="60"/>
      <c r="S97" s="60"/>
      <c r="T97" s="60"/>
      <c r="U97" s="60"/>
      <c r="V97" s="60"/>
    </row>
    <row r="98" spans="1:22" ht="24" customHeight="1" x14ac:dyDescent="0.2">
      <c r="A98" s="808"/>
      <c r="B98" s="915" t="s">
        <v>937</v>
      </c>
      <c r="C98" s="1434"/>
      <c r="D98" s="1256">
        <f>Опц_USB</f>
        <v>5600</v>
      </c>
      <c r="E98" s="1256">
        <f>SUM(D98*1.25)</f>
        <v>7000</v>
      </c>
      <c r="F98" s="1884" t="s">
        <v>939</v>
      </c>
      <c r="G98" s="1881"/>
      <c r="H98" s="1881"/>
      <c r="I98" s="1881"/>
      <c r="J98" s="1881"/>
      <c r="K98" s="1881"/>
      <c r="L98" s="1881"/>
      <c r="M98" s="1881"/>
      <c r="N98" s="1882"/>
      <c r="O98" s="467"/>
      <c r="P98" s="2"/>
      <c r="Q98" s="33"/>
      <c r="R98" s="60"/>
      <c r="S98" s="60"/>
      <c r="T98" s="60"/>
      <c r="U98" s="60"/>
      <c r="V98" s="60"/>
    </row>
    <row r="99" spans="1:22" ht="69" customHeight="1" x14ac:dyDescent="0.2">
      <c r="A99" s="808"/>
      <c r="B99" s="900" t="s">
        <v>374</v>
      </c>
      <c r="C99" s="1332"/>
      <c r="D99" s="1684" t="str">
        <f>Опц_ПМЗ2</f>
        <v>21000 /луч</v>
      </c>
      <c r="E99" s="1684" t="s">
        <v>1405</v>
      </c>
      <c r="F99" s="1879" t="s">
        <v>1443</v>
      </c>
      <c r="G99" s="1874"/>
      <c r="H99" s="1874"/>
      <c r="I99" s="1874"/>
      <c r="J99" s="1874"/>
      <c r="K99" s="1874"/>
      <c r="L99" s="1874"/>
      <c r="M99" s="1874"/>
      <c r="N99" s="1875"/>
      <c r="O99" s="467"/>
      <c r="P99" s="2"/>
      <c r="Q99" s="33"/>
      <c r="R99" s="60"/>
      <c r="S99" s="60"/>
      <c r="T99" s="60"/>
      <c r="U99" s="60"/>
      <c r="V99" s="60"/>
    </row>
    <row r="100" spans="1:22" ht="45" customHeight="1" x14ac:dyDescent="0.2">
      <c r="A100" s="808"/>
      <c r="B100" s="393" t="s">
        <v>375</v>
      </c>
      <c r="C100" s="1255"/>
      <c r="D100" s="1720" t="str">
        <f>Опц_ПМЗ1</f>
        <v>14000 /луч</v>
      </c>
      <c r="E100" s="1720" t="s">
        <v>1414</v>
      </c>
      <c r="F100" s="1885" t="s">
        <v>1444</v>
      </c>
      <c r="G100" s="1886"/>
      <c r="H100" s="1886"/>
      <c r="I100" s="1886"/>
      <c r="J100" s="1886"/>
      <c r="K100" s="1886"/>
      <c r="L100" s="1886"/>
      <c r="M100" s="1886"/>
      <c r="N100" s="1887"/>
      <c r="O100" s="467"/>
      <c r="P100" s="2"/>
      <c r="Q100" s="33"/>
      <c r="R100" s="60"/>
      <c r="S100" s="60"/>
      <c r="T100" s="60"/>
      <c r="U100" s="60"/>
      <c r="V100" s="60"/>
    </row>
    <row r="101" spans="1:22" ht="24" customHeight="1" x14ac:dyDescent="0.2">
      <c r="A101" s="808"/>
      <c r="B101" s="900" t="s">
        <v>741</v>
      </c>
      <c r="C101" s="1332"/>
      <c r="D101" s="1684" t="str">
        <f>Опц_нестандарт</f>
        <v>14000 /луч</v>
      </c>
      <c r="E101" s="1684" t="s">
        <v>1414</v>
      </c>
      <c r="F101" s="1879" t="s">
        <v>1445</v>
      </c>
      <c r="G101" s="1874"/>
      <c r="H101" s="1874"/>
      <c r="I101" s="1874"/>
      <c r="J101" s="1874"/>
      <c r="K101" s="1874"/>
      <c r="L101" s="1874"/>
      <c r="M101" s="1874"/>
      <c r="N101" s="1875"/>
      <c r="O101" s="467"/>
      <c r="P101" s="2"/>
      <c r="Q101" s="33"/>
      <c r="R101" s="60"/>
      <c r="S101" s="60"/>
      <c r="T101" s="60"/>
      <c r="U101" s="60"/>
      <c r="V101" s="60"/>
    </row>
    <row r="102" spans="1:22" ht="24.75" customHeight="1" x14ac:dyDescent="0.2">
      <c r="A102" s="808"/>
      <c r="B102" s="1585" t="s">
        <v>682</v>
      </c>
      <c r="C102" s="1668"/>
      <c r="D102" s="1181">
        <f>Опц_42реверс</f>
        <v>8400</v>
      </c>
      <c r="E102" s="1181">
        <f t="shared" si="0"/>
        <v>10500</v>
      </c>
      <c r="F102" s="1918" t="s">
        <v>951</v>
      </c>
      <c r="G102" s="1886"/>
      <c r="H102" s="1886"/>
      <c r="I102" s="1886"/>
      <c r="J102" s="1886"/>
      <c r="K102" s="1886"/>
      <c r="L102" s="1886"/>
      <c r="M102" s="1886"/>
      <c r="N102" s="1887"/>
      <c r="O102" s="467"/>
      <c r="P102" s="2"/>
      <c r="Q102" s="602"/>
      <c r="R102" s="60"/>
      <c r="S102" s="60"/>
      <c r="T102" s="60"/>
      <c r="U102" s="60"/>
      <c r="V102" s="60"/>
    </row>
    <row r="103" spans="1:22" ht="24.75" customHeight="1" x14ac:dyDescent="0.2">
      <c r="A103" s="808"/>
      <c r="B103" s="1586" t="s">
        <v>683</v>
      </c>
      <c r="C103" s="1332"/>
      <c r="D103" s="1177">
        <f>Опц_Чиреверс</f>
        <v>8400</v>
      </c>
      <c r="E103" s="1177">
        <f t="shared" si="0"/>
        <v>10500</v>
      </c>
      <c r="F103" s="1873" t="s">
        <v>952</v>
      </c>
      <c r="G103" s="1874"/>
      <c r="H103" s="1874"/>
      <c r="I103" s="1874"/>
      <c r="J103" s="1874"/>
      <c r="K103" s="1874"/>
      <c r="L103" s="1874"/>
      <c r="M103" s="1874"/>
      <c r="N103" s="1875"/>
      <c r="O103" s="467"/>
      <c r="P103" s="2"/>
      <c r="Q103" s="602"/>
      <c r="R103" s="60"/>
      <c r="S103" s="60"/>
      <c r="T103" s="60"/>
      <c r="U103" s="60"/>
      <c r="V103" s="60"/>
    </row>
    <row r="104" spans="1:22" ht="15" customHeight="1" x14ac:dyDescent="0.2">
      <c r="A104" s="808"/>
      <c r="B104" s="1585" t="s">
        <v>1155</v>
      </c>
      <c r="C104" s="1668"/>
      <c r="D104" s="1181">
        <f>Опц_пониж</f>
        <v>19600</v>
      </c>
      <c r="E104" s="1181">
        <f t="shared" si="0"/>
        <v>24500</v>
      </c>
      <c r="F104" s="1918" t="s">
        <v>805</v>
      </c>
      <c r="G104" s="1886"/>
      <c r="H104" s="1886"/>
      <c r="I104" s="1886"/>
      <c r="J104" s="1886"/>
      <c r="K104" s="1886"/>
      <c r="L104" s="1886"/>
      <c r="M104" s="1886"/>
      <c r="N104" s="1887"/>
      <c r="O104" s="467"/>
      <c r="P104" s="2"/>
      <c r="Q104" s="33"/>
      <c r="R104" s="60"/>
      <c r="S104" s="60"/>
      <c r="T104" s="60"/>
      <c r="U104" s="60"/>
      <c r="V104" s="60"/>
    </row>
    <row r="105" spans="1:22" ht="15" customHeight="1" thickBot="1" x14ac:dyDescent="0.25">
      <c r="A105" s="808"/>
      <c r="B105" s="1669" t="s">
        <v>1156</v>
      </c>
      <c r="C105" s="1670"/>
      <c r="D105" s="1185">
        <f>Опц_повыш</f>
        <v>19600</v>
      </c>
      <c r="E105" s="1185">
        <f t="shared" si="0"/>
        <v>24500</v>
      </c>
      <c r="F105" s="1909" t="s">
        <v>806</v>
      </c>
      <c r="G105" s="1910"/>
      <c r="H105" s="1910"/>
      <c r="I105" s="1910"/>
      <c r="J105" s="1910"/>
      <c r="K105" s="1910"/>
      <c r="L105" s="1910"/>
      <c r="M105" s="1910"/>
      <c r="N105" s="1911"/>
      <c r="O105" s="467"/>
      <c r="P105" s="2"/>
      <c r="Q105" s="33"/>
      <c r="R105" s="60"/>
      <c r="S105" s="60"/>
      <c r="T105" s="60"/>
      <c r="U105" s="60"/>
      <c r="V105" s="60"/>
    </row>
    <row r="106" spans="1:22" ht="15" customHeight="1" x14ac:dyDescent="0.2">
      <c r="A106" s="1"/>
      <c r="B106" s="468"/>
      <c r="C106" s="274"/>
      <c r="D106" s="389"/>
      <c r="E106" s="389"/>
      <c r="F106" s="390"/>
      <c r="G106" s="230"/>
      <c r="H106" s="230"/>
      <c r="I106" s="230"/>
      <c r="J106" s="219"/>
      <c r="K106" s="219"/>
      <c r="L106" s="219"/>
      <c r="M106" s="461"/>
      <c r="N106" s="219"/>
      <c r="O106" s="467"/>
      <c r="P106" s="2"/>
      <c r="Q106" s="33"/>
      <c r="R106" s="60"/>
      <c r="S106" s="60"/>
      <c r="T106" s="60"/>
      <c r="U106" s="60"/>
      <c r="V106" s="60"/>
    </row>
    <row r="107" spans="1:22" ht="15" customHeight="1" x14ac:dyDescent="0.2">
      <c r="A107" s="1"/>
      <c r="B107" s="468"/>
      <c r="C107" s="274"/>
      <c r="D107" s="389"/>
      <c r="E107" s="389"/>
      <c r="F107" s="390"/>
      <c r="G107" s="230"/>
      <c r="H107" s="230"/>
      <c r="I107" s="230"/>
      <c r="J107" s="219"/>
      <c r="K107" s="219"/>
      <c r="L107" s="219"/>
      <c r="M107" s="461"/>
      <c r="N107" s="219"/>
      <c r="O107" s="467"/>
      <c r="P107" s="2"/>
      <c r="Q107" s="33"/>
      <c r="R107" s="60"/>
      <c r="S107" s="60"/>
      <c r="T107" s="60"/>
      <c r="U107" s="60"/>
      <c r="V107" s="60"/>
    </row>
    <row r="108" spans="1:22" ht="30" customHeight="1" thickBot="1" x14ac:dyDescent="0.25">
      <c r="A108" s="1"/>
      <c r="B108" s="925" t="s">
        <v>1157</v>
      </c>
      <c r="C108" s="926"/>
      <c r="D108" s="927"/>
      <c r="E108" s="927"/>
      <c r="F108" s="928"/>
      <c r="G108" s="929"/>
      <c r="H108" s="929" t="s">
        <v>1127</v>
      </c>
      <c r="I108" s="929"/>
      <c r="J108" s="931"/>
      <c r="K108" s="931"/>
      <c r="L108" s="931"/>
      <c r="M108" s="931"/>
      <c r="N108" s="931"/>
      <c r="O108" s="467"/>
      <c r="P108" s="2"/>
      <c r="Q108" s="33"/>
      <c r="R108" s="60"/>
      <c r="S108" s="60"/>
      <c r="T108" s="60"/>
      <c r="U108" s="60"/>
      <c r="V108" s="60"/>
    </row>
    <row r="109" spans="1:22" ht="15" customHeight="1" x14ac:dyDescent="0.2">
      <c r="A109" s="808"/>
      <c r="B109" s="918" t="s">
        <v>535</v>
      </c>
      <c r="C109" s="919" t="s">
        <v>404</v>
      </c>
      <c r="D109" s="919"/>
      <c r="E109" s="919"/>
      <c r="F109" s="1001" t="s">
        <v>696</v>
      </c>
      <c r="G109" s="922"/>
      <c r="H109" s="923"/>
      <c r="I109" s="923"/>
      <c r="J109" s="923"/>
      <c r="K109" s="923"/>
      <c r="L109" s="923"/>
      <c r="M109" s="919"/>
      <c r="N109" s="924"/>
      <c r="O109" s="467"/>
      <c r="P109" s="2"/>
      <c r="Q109" s="33"/>
      <c r="R109" s="60"/>
      <c r="S109" s="60"/>
      <c r="T109" s="60"/>
      <c r="U109" s="60"/>
      <c r="V109" s="60"/>
    </row>
    <row r="110" spans="1:22" ht="15" customHeight="1" x14ac:dyDescent="0.2">
      <c r="A110" s="808"/>
      <c r="B110" s="912" t="s">
        <v>817</v>
      </c>
      <c r="C110" s="360"/>
      <c r="D110" s="367"/>
      <c r="E110" s="367"/>
      <c r="F110" s="367"/>
      <c r="G110" s="361"/>
      <c r="H110" s="362"/>
      <c r="I110" s="368"/>
      <c r="J110" s="368"/>
      <c r="K110" s="368"/>
      <c r="L110" s="368"/>
      <c r="M110" s="368"/>
      <c r="N110" s="916"/>
      <c r="O110" s="467"/>
      <c r="P110" s="2"/>
      <c r="Q110" s="33"/>
      <c r="R110" s="60"/>
      <c r="S110" s="60"/>
      <c r="T110" s="60"/>
      <c r="U110" s="60"/>
      <c r="V110" s="60"/>
    </row>
    <row r="111" spans="1:22" ht="15" customHeight="1" x14ac:dyDescent="0.25">
      <c r="A111" s="808"/>
      <c r="B111" s="913"/>
      <c r="C111" s="359"/>
      <c r="D111" s="470" t="s">
        <v>551</v>
      </c>
      <c r="E111" s="470"/>
      <c r="F111" s="365"/>
      <c r="G111" s="366"/>
      <c r="H111" s="366"/>
      <c r="I111" s="364"/>
      <c r="J111" s="364"/>
      <c r="K111" s="364"/>
      <c r="L111" s="363"/>
      <c r="M111" s="364"/>
      <c r="N111" s="917"/>
      <c r="O111" s="467"/>
      <c r="P111" s="2"/>
      <c r="Q111" s="60"/>
      <c r="R111" s="60"/>
      <c r="S111" s="60"/>
      <c r="T111" s="60"/>
      <c r="U111" s="60"/>
      <c r="V111" s="60"/>
    </row>
    <row r="112" spans="1:22" ht="15" customHeight="1" x14ac:dyDescent="0.25">
      <c r="A112" s="808"/>
      <c r="B112" s="913"/>
      <c r="C112" s="359"/>
      <c r="D112" s="470"/>
      <c r="E112" s="470"/>
      <c r="F112" s="365"/>
      <c r="G112" s="365"/>
      <c r="H112" s="365"/>
      <c r="I112" s="363"/>
      <c r="J112" s="363"/>
      <c r="K112" s="363"/>
      <c r="L112" s="363"/>
      <c r="M112" s="363"/>
      <c r="N112" s="917"/>
      <c r="O112" s="467"/>
      <c r="P112" s="2"/>
      <c r="Q112" s="602"/>
      <c r="R112" s="60"/>
      <c r="S112" s="60"/>
      <c r="T112" s="60"/>
      <c r="U112" s="60"/>
      <c r="V112" s="60"/>
    </row>
    <row r="113" spans="1:22" ht="15" customHeight="1" thickBot="1" x14ac:dyDescent="0.25">
      <c r="A113" s="808"/>
      <c r="B113" s="1888" t="s">
        <v>160</v>
      </c>
      <c r="C113" s="1889"/>
      <c r="D113" s="1436">
        <f>Конверт_USB</f>
        <v>14400</v>
      </c>
      <c r="E113" s="1437"/>
      <c r="F113" s="1890" t="s">
        <v>967</v>
      </c>
      <c r="G113" s="1912"/>
      <c r="H113" s="1912"/>
      <c r="I113" s="1912"/>
      <c r="J113" s="1912"/>
      <c r="K113" s="1912"/>
      <c r="L113" s="1912"/>
      <c r="M113" s="1912"/>
      <c r="N113" s="1913"/>
      <c r="O113" s="467"/>
      <c r="P113" s="2"/>
      <c r="Q113" s="33"/>
      <c r="R113" s="60"/>
      <c r="S113" s="60"/>
      <c r="T113" s="60"/>
      <c r="U113" s="60"/>
      <c r="V113" s="60"/>
    </row>
    <row r="114" spans="1:22" ht="15" customHeight="1" x14ac:dyDescent="0.2">
      <c r="A114" s="808"/>
      <c r="B114" s="1893" t="s">
        <v>471</v>
      </c>
      <c r="C114" s="1894"/>
      <c r="D114" s="706">
        <f>Конверт_Ethernet</f>
        <v>21600</v>
      </c>
      <c r="E114" s="1438"/>
      <c r="F114" s="1898" t="s">
        <v>1102</v>
      </c>
      <c r="G114" s="1899"/>
      <c r="H114" s="1899"/>
      <c r="I114" s="1899"/>
      <c r="J114" s="1899"/>
      <c r="K114" s="1899"/>
      <c r="L114" s="1899"/>
      <c r="M114" s="1899"/>
      <c r="N114" s="1900"/>
      <c r="O114" s="467"/>
      <c r="P114" s="2"/>
      <c r="Q114" s="60"/>
      <c r="R114" s="60"/>
      <c r="S114" s="60"/>
      <c r="T114" s="60"/>
      <c r="U114" s="60"/>
      <c r="V114" s="60"/>
    </row>
    <row r="115" spans="1:22" ht="15" customHeight="1" x14ac:dyDescent="0.2">
      <c r="A115" s="808"/>
      <c r="B115" s="1895" t="s">
        <v>552</v>
      </c>
      <c r="C115" s="1896"/>
      <c r="D115" s="715">
        <f>Конверт_RS232</f>
        <v>10800</v>
      </c>
      <c r="E115" s="1274"/>
      <c r="F115" s="1901" t="s">
        <v>968</v>
      </c>
      <c r="G115" s="1846"/>
      <c r="H115" s="1846"/>
      <c r="I115" s="1846"/>
      <c r="J115" s="1846"/>
      <c r="K115" s="1846"/>
      <c r="L115" s="1846"/>
      <c r="M115" s="1846"/>
      <c r="N115" s="1902"/>
      <c r="O115" s="467"/>
      <c r="P115" s="2"/>
      <c r="Q115" s="602"/>
      <c r="R115" s="60"/>
      <c r="S115" s="60"/>
      <c r="T115" s="60"/>
      <c r="U115" s="60"/>
      <c r="V115" s="60"/>
    </row>
    <row r="116" spans="1:22" ht="15" customHeight="1" x14ac:dyDescent="0.2">
      <c r="A116" s="808"/>
      <c r="B116" s="1893" t="s">
        <v>687</v>
      </c>
      <c r="C116" s="1897"/>
      <c r="D116" s="706">
        <f>Репит_RS485</f>
        <v>21600</v>
      </c>
      <c r="E116" s="1439"/>
      <c r="F116" s="1903" t="s">
        <v>502</v>
      </c>
      <c r="G116" s="1904"/>
      <c r="H116" s="1904"/>
      <c r="I116" s="1904"/>
      <c r="J116" s="1904"/>
      <c r="K116" s="1904"/>
      <c r="L116" s="1904"/>
      <c r="M116" s="1904"/>
      <c r="N116" s="1905"/>
      <c r="O116" s="467"/>
      <c r="P116" s="2"/>
      <c r="Q116" s="33"/>
      <c r="R116" s="60"/>
      <c r="S116" s="60"/>
      <c r="T116" s="60"/>
      <c r="U116" s="60"/>
      <c r="V116" s="60"/>
    </row>
    <row r="117" spans="1:22" ht="24.75" customHeight="1" thickBot="1" x14ac:dyDescent="0.25">
      <c r="A117" s="808"/>
      <c r="B117" s="1888" t="s">
        <v>715</v>
      </c>
      <c r="C117" s="1889"/>
      <c r="D117" s="1436">
        <f>Нетбук</f>
        <v>42000</v>
      </c>
      <c r="E117" s="1437"/>
      <c r="F117" s="1890" t="s">
        <v>856</v>
      </c>
      <c r="G117" s="1891"/>
      <c r="H117" s="1891"/>
      <c r="I117" s="1891"/>
      <c r="J117" s="1891"/>
      <c r="K117" s="1891"/>
      <c r="L117" s="1891"/>
      <c r="M117" s="1891"/>
      <c r="N117" s="1892"/>
      <c r="O117" s="467"/>
      <c r="P117" s="2"/>
      <c r="Q117" s="60"/>
      <c r="R117" s="60"/>
      <c r="S117" s="60"/>
      <c r="T117" s="60"/>
      <c r="U117" s="60"/>
      <c r="V117" s="60"/>
    </row>
    <row r="118" spans="1:22" ht="15" customHeight="1" x14ac:dyDescent="0.2">
      <c r="A118" s="808"/>
      <c r="B118" s="912" t="s">
        <v>85</v>
      </c>
      <c r="C118" s="360"/>
      <c r="D118" s="367"/>
      <c r="E118" s="367"/>
      <c r="F118" s="367"/>
      <c r="G118" s="361"/>
      <c r="H118" s="362"/>
      <c r="I118" s="368"/>
      <c r="J118" s="368"/>
      <c r="K118" s="368"/>
      <c r="L118" s="368"/>
      <c r="M118" s="368"/>
      <c r="N118" s="916"/>
      <c r="O118" s="467"/>
      <c r="P118" s="2"/>
      <c r="Q118" s="33"/>
      <c r="R118" s="60"/>
      <c r="S118" s="60"/>
      <c r="T118" s="60"/>
      <c r="U118" s="60"/>
      <c r="V118" s="60"/>
    </row>
    <row r="119" spans="1:22" ht="15" customHeight="1" x14ac:dyDescent="0.25">
      <c r="A119" s="808"/>
      <c r="B119" s="913"/>
      <c r="C119" s="359"/>
      <c r="D119" s="470" t="s">
        <v>321</v>
      </c>
      <c r="E119" s="470"/>
      <c r="F119" s="365"/>
      <c r="G119" s="366"/>
      <c r="H119" s="366"/>
      <c r="I119" s="364"/>
      <c r="J119" s="364"/>
      <c r="K119" s="364"/>
      <c r="L119" s="363"/>
      <c r="M119" s="364"/>
      <c r="N119" s="917"/>
      <c r="O119" s="467"/>
      <c r="P119" s="2"/>
      <c r="Q119" s="602"/>
      <c r="R119" s="60"/>
      <c r="S119" s="60"/>
      <c r="T119" s="60"/>
      <c r="U119" s="60"/>
      <c r="V119" s="60"/>
    </row>
    <row r="120" spans="1:22" ht="15" customHeight="1" x14ac:dyDescent="0.25">
      <c r="A120" s="808"/>
      <c r="B120" s="913"/>
      <c r="C120" s="359"/>
      <c r="D120" s="470"/>
      <c r="E120" s="470"/>
      <c r="F120" s="365"/>
      <c r="G120" s="365"/>
      <c r="H120" s="365"/>
      <c r="I120" s="363"/>
      <c r="J120" s="363"/>
      <c r="K120" s="363"/>
      <c r="L120" s="363"/>
      <c r="M120" s="363"/>
      <c r="N120" s="917"/>
      <c r="O120" s="467"/>
      <c r="P120" s="2"/>
      <c r="Q120" s="602"/>
      <c r="R120" s="60"/>
      <c r="S120" s="60"/>
      <c r="T120" s="60"/>
      <c r="U120" s="60"/>
      <c r="V120" s="60"/>
    </row>
    <row r="121" spans="1:22" ht="24.75" customHeight="1" x14ac:dyDescent="0.2">
      <c r="A121" s="808"/>
      <c r="B121" s="1895" t="s">
        <v>1099</v>
      </c>
      <c r="C121" s="1896"/>
      <c r="D121" s="715">
        <f>Модем_RS485</f>
        <v>10800</v>
      </c>
      <c r="E121" s="1274"/>
      <c r="F121" s="1901" t="s">
        <v>25</v>
      </c>
      <c r="G121" s="1846"/>
      <c r="H121" s="1846"/>
      <c r="I121" s="1846"/>
      <c r="J121" s="1846"/>
      <c r="K121" s="1846"/>
      <c r="L121" s="1846"/>
      <c r="M121" s="1846"/>
      <c r="N121" s="1902"/>
      <c r="O121" s="467"/>
      <c r="P121" s="2"/>
      <c r="Q121" s="33"/>
      <c r="R121" s="60"/>
      <c r="S121" s="60"/>
      <c r="T121" s="60"/>
      <c r="U121" s="60"/>
      <c r="V121" s="60"/>
    </row>
    <row r="122" spans="1:22" ht="24.75" customHeight="1" x14ac:dyDescent="0.2">
      <c r="A122" s="808"/>
      <c r="B122" s="1893" t="s">
        <v>686</v>
      </c>
      <c r="C122" s="1897"/>
      <c r="D122" s="706">
        <f>Модем_USB</f>
        <v>10800</v>
      </c>
      <c r="E122" s="1439"/>
      <c r="F122" s="1903" t="s">
        <v>322</v>
      </c>
      <c r="G122" s="1904"/>
      <c r="H122" s="1904"/>
      <c r="I122" s="1904"/>
      <c r="J122" s="1904"/>
      <c r="K122" s="1904"/>
      <c r="L122" s="1904"/>
      <c r="M122" s="1904"/>
      <c r="N122" s="1905"/>
      <c r="O122" s="467"/>
      <c r="P122" s="2"/>
      <c r="Q122" s="60"/>
      <c r="R122" s="60"/>
      <c r="S122" s="60"/>
      <c r="T122" s="60"/>
      <c r="U122" s="60"/>
      <c r="V122" s="60"/>
    </row>
    <row r="123" spans="1:22" ht="24.75" customHeight="1" thickBot="1" x14ac:dyDescent="0.25">
      <c r="A123" s="808"/>
      <c r="B123" s="1888" t="s">
        <v>1225</v>
      </c>
      <c r="C123" s="1889"/>
      <c r="D123" s="1436">
        <f>GPRS_терм</f>
        <v>25200</v>
      </c>
      <c r="E123" s="1437"/>
      <c r="F123" s="1890" t="s">
        <v>1227</v>
      </c>
      <c r="G123" s="1891"/>
      <c r="H123" s="1891"/>
      <c r="I123" s="1891"/>
      <c r="J123" s="1891"/>
      <c r="K123" s="1891"/>
      <c r="L123" s="1891"/>
      <c r="M123" s="1891"/>
      <c r="N123" s="1892"/>
      <c r="O123" s="467"/>
      <c r="P123" s="2"/>
      <c r="Q123" s="60"/>
      <c r="R123" s="60"/>
      <c r="S123" s="60"/>
      <c r="T123" s="60"/>
      <c r="U123" s="60"/>
      <c r="V123" s="60"/>
    </row>
    <row r="124" spans="1:22" ht="15" customHeight="1" x14ac:dyDescent="0.2">
      <c r="A124" s="808"/>
      <c r="B124" s="912" t="s">
        <v>212</v>
      </c>
      <c r="C124" s="360"/>
      <c r="D124" s="367"/>
      <c r="E124" s="367"/>
      <c r="F124" s="367"/>
      <c r="G124" s="361"/>
      <c r="H124" s="362"/>
      <c r="I124" s="368"/>
      <c r="J124" s="368"/>
      <c r="K124" s="368"/>
      <c r="L124" s="368"/>
      <c r="M124" s="368"/>
      <c r="N124" s="916"/>
      <c r="O124" s="467"/>
      <c r="P124" s="2"/>
      <c r="Q124" s="60"/>
      <c r="R124" s="60"/>
      <c r="S124" s="60"/>
      <c r="T124" s="60"/>
      <c r="U124" s="60"/>
      <c r="V124" s="60"/>
    </row>
    <row r="125" spans="1:22" ht="15" customHeight="1" x14ac:dyDescent="0.25">
      <c r="A125" s="808"/>
      <c r="B125" s="913"/>
      <c r="C125" s="359"/>
      <c r="D125" s="470" t="s">
        <v>33</v>
      </c>
      <c r="E125" s="470"/>
      <c r="F125" s="365"/>
      <c r="G125" s="366"/>
      <c r="H125" s="366"/>
      <c r="I125" s="364"/>
      <c r="J125" s="364"/>
      <c r="K125" s="364"/>
      <c r="L125" s="363"/>
      <c r="M125" s="364"/>
      <c r="N125" s="917"/>
      <c r="O125" s="467"/>
      <c r="P125" s="2"/>
      <c r="Q125" s="33"/>
      <c r="R125" s="60"/>
      <c r="S125" s="60"/>
      <c r="T125" s="60"/>
      <c r="U125" s="60"/>
      <c r="V125" s="60"/>
    </row>
    <row r="126" spans="1:22" ht="15" customHeight="1" x14ac:dyDescent="0.25">
      <c r="A126" s="808"/>
      <c r="B126" s="913"/>
      <c r="C126" s="359"/>
      <c r="D126" s="470"/>
      <c r="E126" s="470"/>
      <c r="F126" s="365"/>
      <c r="G126" s="365"/>
      <c r="H126" s="365"/>
      <c r="I126" s="363"/>
      <c r="J126" s="363"/>
      <c r="K126" s="363"/>
      <c r="L126" s="363"/>
      <c r="M126" s="363"/>
      <c r="N126" s="917"/>
      <c r="O126" s="467"/>
      <c r="P126" s="2"/>
      <c r="Q126" s="60"/>
      <c r="R126" s="60"/>
      <c r="S126" s="60"/>
      <c r="T126" s="60"/>
      <c r="U126" s="60"/>
      <c r="V126" s="60"/>
    </row>
    <row r="127" spans="1:22" ht="15" customHeight="1" x14ac:dyDescent="0.2">
      <c r="A127" s="808"/>
      <c r="B127" s="1895" t="s">
        <v>86</v>
      </c>
      <c r="C127" s="1896"/>
      <c r="D127" s="715">
        <f>Шкаф_необогр</f>
        <v>28000</v>
      </c>
      <c r="E127" s="1274"/>
      <c r="F127" s="1924" t="s">
        <v>68</v>
      </c>
      <c r="G127" s="1846"/>
      <c r="H127" s="1846"/>
      <c r="I127" s="1846"/>
      <c r="J127" s="1846"/>
      <c r="K127" s="1846"/>
      <c r="L127" s="1846"/>
      <c r="M127" s="1846"/>
      <c r="N127" s="1902"/>
      <c r="O127" s="467"/>
      <c r="P127" s="2"/>
      <c r="Q127" s="33"/>
      <c r="R127" s="60"/>
      <c r="S127" s="60"/>
      <c r="T127" s="60"/>
      <c r="U127" s="60"/>
      <c r="V127" s="60"/>
    </row>
    <row r="128" spans="1:22" ht="15" customHeight="1" thickBot="1" x14ac:dyDescent="0.25">
      <c r="A128" s="808"/>
      <c r="B128" s="1922" t="s">
        <v>87</v>
      </c>
      <c r="C128" s="1923"/>
      <c r="D128" s="904">
        <f>Шкаф_обогр</f>
        <v>49000</v>
      </c>
      <c r="E128" s="1440"/>
      <c r="F128" s="1925" t="s">
        <v>67</v>
      </c>
      <c r="G128" s="1926"/>
      <c r="H128" s="1926"/>
      <c r="I128" s="1926"/>
      <c r="J128" s="1926"/>
      <c r="K128" s="1926"/>
      <c r="L128" s="1926"/>
      <c r="M128" s="1926"/>
      <c r="N128" s="1927"/>
      <c r="O128" s="467"/>
      <c r="P128" s="2"/>
      <c r="Q128" s="33"/>
      <c r="R128" s="60"/>
      <c r="S128" s="60"/>
      <c r="T128" s="60"/>
      <c r="U128" s="60"/>
      <c r="V128" s="60"/>
    </row>
    <row r="129" spans="1:22" ht="15" customHeight="1" x14ac:dyDescent="0.2">
      <c r="A129" s="1"/>
      <c r="B129" s="468"/>
      <c r="C129" s="274"/>
      <c r="D129" s="389"/>
      <c r="E129" s="389"/>
      <c r="F129" s="390"/>
      <c r="G129" s="230"/>
      <c r="H129" s="230"/>
      <c r="I129" s="230"/>
      <c r="J129" s="219"/>
      <c r="K129" s="219"/>
      <c r="L129" s="219"/>
      <c r="M129" s="461"/>
      <c r="N129" s="219"/>
      <c r="O129" s="467"/>
      <c r="P129" s="2"/>
      <c r="Q129" s="33"/>
      <c r="R129" s="60"/>
      <c r="S129" s="60"/>
      <c r="T129" s="60"/>
      <c r="U129" s="60"/>
      <c r="V129" s="60"/>
    </row>
    <row r="130" spans="1:22" ht="15" customHeight="1" x14ac:dyDescent="0.2">
      <c r="A130" s="1"/>
      <c r="B130" s="419"/>
      <c r="C130" s="419"/>
      <c r="D130" s="457"/>
      <c r="E130" s="457"/>
      <c r="F130" s="459"/>
      <c r="G130" s="459"/>
      <c r="H130" s="459"/>
      <c r="I130" s="459"/>
      <c r="J130" s="459"/>
      <c r="K130" s="459"/>
      <c r="L130" s="459"/>
      <c r="M130" s="459"/>
      <c r="N130" s="462"/>
      <c r="O130" s="401"/>
      <c r="P130" s="2"/>
      <c r="Q130" s="33"/>
      <c r="R130" s="60"/>
      <c r="S130" s="60"/>
      <c r="T130" s="60"/>
      <c r="U130" s="60"/>
      <c r="V130" s="60"/>
    </row>
    <row r="131" spans="1:22" ht="15" customHeight="1" x14ac:dyDescent="0.2">
      <c r="A131" s="1"/>
      <c r="B131" s="471"/>
      <c r="C131" s="371"/>
      <c r="D131" s="513"/>
      <c r="E131" s="513"/>
      <c r="F131" s="514"/>
      <c r="G131" s="515"/>
      <c r="H131" s="515"/>
      <c r="I131" s="397"/>
      <c r="J131" s="397"/>
      <c r="K131" s="397"/>
      <c r="L131" s="397"/>
      <c r="M131" s="397"/>
      <c r="N131" s="397"/>
      <c r="O131" s="465"/>
      <c r="P131" s="60"/>
      <c r="Q131" s="33"/>
      <c r="R131" s="60"/>
      <c r="S131" s="60"/>
      <c r="T131" s="60"/>
      <c r="U131" s="60"/>
      <c r="V131" s="10"/>
    </row>
    <row r="132" spans="1:22" ht="15" customHeight="1" x14ac:dyDescent="0.25">
      <c r="A132" s="1"/>
      <c r="B132" s="464"/>
      <c r="C132" s="371"/>
      <c r="D132" s="478" t="s">
        <v>35</v>
      </c>
      <c r="E132" s="478"/>
      <c r="F132" s="65"/>
      <c r="G132" s="515"/>
      <c r="H132" s="515"/>
      <c r="I132" s="397"/>
      <c r="J132" s="397"/>
      <c r="K132" s="397"/>
      <c r="L132" s="397"/>
      <c r="M132" s="397"/>
      <c r="N132" s="397"/>
      <c r="O132" s="465"/>
      <c r="P132" s="60"/>
      <c r="Q132" s="60"/>
      <c r="R132" s="60"/>
      <c r="S132" s="60"/>
      <c r="T132" s="60"/>
      <c r="U132" s="60"/>
      <c r="V132" s="10"/>
    </row>
    <row r="133" spans="1:22" ht="15" customHeight="1" thickBot="1" x14ac:dyDescent="0.25">
      <c r="A133" s="1"/>
      <c r="B133" s="938"/>
      <c r="C133" s="939"/>
      <c r="D133" s="642" t="s">
        <v>818</v>
      </c>
      <c r="E133" s="940"/>
      <c r="F133" s="941"/>
      <c r="G133" s="942"/>
      <c r="H133" s="943"/>
      <c r="I133" s="943"/>
      <c r="J133" s="943"/>
      <c r="K133" s="943"/>
      <c r="L133" s="943"/>
      <c r="M133" s="943"/>
      <c r="N133" s="943"/>
      <c r="O133" s="465"/>
      <c r="P133" s="60"/>
      <c r="Q133" s="33"/>
      <c r="R133" s="60"/>
      <c r="S133" s="60"/>
      <c r="T133" s="60"/>
      <c r="U133" s="60"/>
      <c r="V133" s="10"/>
    </row>
    <row r="134" spans="1:22" ht="15" customHeight="1" x14ac:dyDescent="0.2">
      <c r="A134" s="808"/>
      <c r="B134" s="918" t="s">
        <v>535</v>
      </c>
      <c r="C134" s="919"/>
      <c r="D134" s="906" t="s">
        <v>821</v>
      </c>
      <c r="E134" s="921" t="s">
        <v>820</v>
      </c>
      <c r="F134" s="1001" t="s">
        <v>696</v>
      </c>
      <c r="G134" s="922"/>
      <c r="H134" s="923"/>
      <c r="I134" s="923"/>
      <c r="J134" s="923"/>
      <c r="K134" s="923"/>
      <c r="L134" s="923"/>
      <c r="M134" s="919"/>
      <c r="N134" s="910"/>
      <c r="O134" s="467"/>
      <c r="P134" s="60"/>
      <c r="Q134" s="33"/>
      <c r="R134" s="60"/>
      <c r="S134" s="60"/>
      <c r="T134" s="60"/>
      <c r="U134" s="60"/>
      <c r="V134" s="10"/>
    </row>
    <row r="135" spans="1:22" ht="15" customHeight="1" x14ac:dyDescent="0.2">
      <c r="A135" s="808"/>
      <c r="B135" s="498" t="s">
        <v>36</v>
      </c>
      <c r="C135" s="1253"/>
      <c r="D135" s="1257">
        <f>РК50</f>
        <v>35</v>
      </c>
      <c r="E135" s="1246">
        <f>SUM(D135*1.25)</f>
        <v>43.75</v>
      </c>
      <c r="F135" s="223" t="s">
        <v>664</v>
      </c>
      <c r="G135" s="230"/>
      <c r="H135" s="230"/>
      <c r="I135" s="230"/>
      <c r="J135" s="219"/>
      <c r="K135" s="219"/>
      <c r="L135" s="219"/>
      <c r="M135" s="219"/>
      <c r="N135" s="933"/>
      <c r="O135" s="254"/>
      <c r="P135" s="60"/>
      <c r="Q135" s="60"/>
      <c r="R135" s="60"/>
      <c r="S135" s="60"/>
      <c r="T135" s="60"/>
      <c r="U135" s="60"/>
      <c r="V135" s="10"/>
    </row>
    <row r="136" spans="1:22" ht="15" customHeight="1" thickBot="1" x14ac:dyDescent="0.25">
      <c r="A136" s="808"/>
      <c r="B136" s="937"/>
      <c r="C136" s="1365"/>
      <c r="D136" s="1364"/>
      <c r="E136" s="1258"/>
      <c r="F136" s="935" t="s">
        <v>663</v>
      </c>
      <c r="G136" s="888"/>
      <c r="H136" s="888"/>
      <c r="I136" s="888"/>
      <c r="J136" s="890"/>
      <c r="K136" s="890"/>
      <c r="L136" s="890"/>
      <c r="M136" s="890"/>
      <c r="N136" s="936"/>
      <c r="O136" s="219"/>
      <c r="P136" s="60"/>
      <c r="Q136" s="33"/>
      <c r="R136" s="60"/>
      <c r="S136" s="60"/>
      <c r="T136" s="60"/>
      <c r="U136" s="60"/>
      <c r="V136" s="10"/>
    </row>
    <row r="137" spans="1:22" ht="15" customHeight="1" x14ac:dyDescent="0.2">
      <c r="A137" s="808"/>
      <c r="B137" s="1869" t="s">
        <v>1401</v>
      </c>
      <c r="C137" s="1870"/>
      <c r="D137" s="1257" t="str">
        <f>КСС2Э</f>
        <v>105/105</v>
      </c>
      <c r="E137" s="1721" t="s">
        <v>1415</v>
      </c>
      <c r="F137" s="223" t="s">
        <v>954</v>
      </c>
      <c r="G137" s="230"/>
      <c r="H137" s="230"/>
      <c r="I137" s="230"/>
      <c r="J137" s="219"/>
      <c r="K137" s="219"/>
      <c r="L137" s="219"/>
      <c r="M137" s="219"/>
      <c r="N137" s="933"/>
      <c r="O137" s="254"/>
      <c r="P137" s="60"/>
      <c r="Q137" s="60"/>
      <c r="R137" s="60"/>
      <c r="S137" s="60"/>
      <c r="T137" s="60"/>
      <c r="U137" s="60"/>
      <c r="V137" s="10"/>
    </row>
    <row r="138" spans="1:22" ht="15" customHeight="1" thickBot="1" x14ac:dyDescent="0.25">
      <c r="A138" s="808"/>
      <c r="B138" s="1871"/>
      <c r="C138" s="1872"/>
      <c r="D138" s="1364"/>
      <c r="E138" s="1258"/>
      <c r="F138" s="935" t="s">
        <v>1392</v>
      </c>
      <c r="G138" s="888"/>
      <c r="H138" s="888"/>
      <c r="I138" s="888"/>
      <c r="J138" s="890"/>
      <c r="K138" s="890"/>
      <c r="L138" s="890"/>
      <c r="M138" s="890"/>
      <c r="N138" s="936"/>
      <c r="O138" s="219"/>
      <c r="P138" s="60"/>
      <c r="Q138" s="33"/>
      <c r="R138" s="60"/>
      <c r="S138" s="60"/>
      <c r="T138" s="60"/>
      <c r="U138" s="60"/>
      <c r="V138" s="10"/>
    </row>
    <row r="139" spans="1:22" ht="15" customHeight="1" x14ac:dyDescent="0.2">
      <c r="A139" s="808"/>
      <c r="B139" s="1869" t="s">
        <v>1402</v>
      </c>
      <c r="C139" s="1870"/>
      <c r="D139" s="1257" t="str">
        <f>КСС4Э</f>
        <v>210/210</v>
      </c>
      <c r="E139" s="1189" t="s">
        <v>1416</v>
      </c>
      <c r="F139" s="223" t="s">
        <v>953</v>
      </c>
      <c r="G139" s="230"/>
      <c r="H139" s="230"/>
      <c r="I139" s="230"/>
      <c r="J139" s="219"/>
      <c r="K139" s="219"/>
      <c r="L139" s="219"/>
      <c r="M139" s="219"/>
      <c r="N139" s="933"/>
      <c r="O139" s="254"/>
      <c r="P139" s="60"/>
      <c r="Q139" s="60"/>
      <c r="R139" s="60"/>
      <c r="S139" s="60"/>
      <c r="T139" s="60"/>
      <c r="U139" s="60"/>
      <c r="V139" s="10"/>
    </row>
    <row r="140" spans="1:22" ht="15" customHeight="1" thickBot="1" x14ac:dyDescent="0.25">
      <c r="A140" s="808"/>
      <c r="B140" s="1871"/>
      <c r="C140" s="1872"/>
      <c r="D140" s="1258"/>
      <c r="E140" s="948"/>
      <c r="F140" s="935" t="s">
        <v>1393</v>
      </c>
      <c r="G140" s="888"/>
      <c r="H140" s="888"/>
      <c r="I140" s="888"/>
      <c r="J140" s="890"/>
      <c r="K140" s="890"/>
      <c r="L140" s="890"/>
      <c r="M140" s="890"/>
      <c r="N140" s="936"/>
      <c r="O140" s="219"/>
      <c r="P140" s="60"/>
      <c r="Q140" s="33"/>
      <c r="R140" s="60"/>
      <c r="S140" s="60"/>
      <c r="T140" s="60"/>
      <c r="U140" s="60"/>
      <c r="V140" s="10"/>
    </row>
    <row r="141" spans="1:22" ht="15" customHeight="1" x14ac:dyDescent="0.2">
      <c r="A141" s="2"/>
      <c r="B141" s="499"/>
      <c r="C141" s="371"/>
      <c r="D141" s="254"/>
      <c r="E141" s="254"/>
      <c r="F141" s="472"/>
      <c r="G141" s="397"/>
      <c r="H141" s="397"/>
      <c r="I141" s="397"/>
      <c r="J141" s="397"/>
      <c r="K141" s="397"/>
      <c r="L141" s="397"/>
      <c r="M141" s="397"/>
      <c r="N141" s="397"/>
      <c r="O141" s="465"/>
      <c r="P141" s="60"/>
      <c r="Q141" s="33"/>
      <c r="R141" s="60"/>
      <c r="S141" s="60"/>
      <c r="T141" s="60"/>
      <c r="U141" s="60"/>
      <c r="V141" s="10"/>
    </row>
    <row r="142" spans="1:22" ht="15" customHeight="1" x14ac:dyDescent="0.2">
      <c r="A142" s="2"/>
      <c r="B142" s="499"/>
      <c r="C142" s="371"/>
      <c r="D142" s="254"/>
      <c r="E142" s="254"/>
      <c r="F142" s="472"/>
      <c r="G142" s="397"/>
      <c r="H142" s="397"/>
      <c r="I142" s="397"/>
      <c r="J142" s="397"/>
      <c r="K142" s="397"/>
      <c r="L142" s="397"/>
      <c r="M142" s="397"/>
      <c r="N142" s="397"/>
      <c r="O142" s="465"/>
      <c r="P142" s="60"/>
      <c r="Q142" s="593"/>
      <c r="R142" s="60"/>
      <c r="S142" s="60"/>
      <c r="T142" s="60"/>
      <c r="U142" s="60"/>
      <c r="V142" s="10"/>
    </row>
    <row r="143" spans="1:22" ht="15" customHeight="1" x14ac:dyDescent="0.2">
      <c r="A143" s="2"/>
      <c r="B143" s="499"/>
      <c r="C143" s="371"/>
      <c r="D143" s="513"/>
      <c r="E143" s="513"/>
      <c r="F143" s="622" t="s">
        <v>125</v>
      </c>
      <c r="G143" s="623"/>
      <c r="H143" s="558"/>
      <c r="I143" s="254"/>
      <c r="J143" s="397"/>
      <c r="K143" s="397"/>
      <c r="L143" s="397"/>
      <c r="M143" s="397"/>
      <c r="N143" s="397"/>
      <c r="O143" s="465"/>
      <c r="P143" s="60"/>
      <c r="Q143" s="60"/>
      <c r="R143" s="60"/>
      <c r="S143" s="60"/>
      <c r="T143" s="60"/>
      <c r="U143" s="60"/>
      <c r="V143" s="10"/>
    </row>
    <row r="144" spans="1:22" ht="15" customHeight="1" x14ac:dyDescent="0.25">
      <c r="A144" s="2"/>
      <c r="B144" s="499"/>
      <c r="C144" s="371"/>
      <c r="D144" s="478" t="s">
        <v>665</v>
      </c>
      <c r="E144" s="478"/>
      <c r="F144" s="518"/>
      <c r="G144" s="559"/>
      <c r="H144" s="559"/>
      <c r="I144" s="276"/>
      <c r="J144" s="397"/>
      <c r="K144" s="397"/>
      <c r="L144" s="397"/>
      <c r="M144" s="397"/>
      <c r="N144" s="397"/>
      <c r="O144" s="465"/>
      <c r="P144" s="60"/>
      <c r="Q144" s="33"/>
      <c r="R144" s="60"/>
      <c r="S144" s="60"/>
      <c r="T144" s="60"/>
      <c r="U144" s="60"/>
      <c r="V144" s="10"/>
    </row>
    <row r="145" spans="1:22" ht="15" customHeight="1" thickBot="1" x14ac:dyDescent="0.25">
      <c r="A145" s="2"/>
      <c r="B145" s="944"/>
      <c r="C145" s="939"/>
      <c r="D145" s="940"/>
      <c r="E145" s="940"/>
      <c r="F145" s="945"/>
      <c r="G145" s="943"/>
      <c r="H145" s="943"/>
      <c r="I145" s="943"/>
      <c r="J145" s="943"/>
      <c r="K145" s="943"/>
      <c r="L145" s="943"/>
      <c r="M145" s="943"/>
      <c r="N145" s="943"/>
      <c r="O145" s="465"/>
      <c r="P145" s="60"/>
      <c r="Q145" s="60"/>
      <c r="R145" s="60"/>
      <c r="S145" s="60"/>
      <c r="T145" s="60"/>
      <c r="U145" s="60"/>
      <c r="V145" s="10"/>
    </row>
    <row r="146" spans="1:22" ht="12.75" customHeight="1" x14ac:dyDescent="0.2">
      <c r="A146" s="1"/>
      <c r="B146" s="57"/>
      <c r="C146" s="16"/>
      <c r="D146" s="16"/>
      <c r="E146" s="17"/>
      <c r="F146" s="17"/>
      <c r="G146" s="17"/>
      <c r="H146" s="16"/>
      <c r="I146" s="17"/>
      <c r="J146" s="17"/>
      <c r="K146" s="17"/>
      <c r="L146" s="16"/>
      <c r="M146" s="252"/>
      <c r="N146" s="252"/>
      <c r="O146" s="229"/>
      <c r="P146" s="34"/>
      <c r="Q146" s="33"/>
      <c r="R146" s="60"/>
      <c r="S146" s="60"/>
      <c r="T146" s="10"/>
      <c r="U146" s="10"/>
      <c r="V146" s="10"/>
    </row>
    <row r="147" spans="1:22" ht="12.75" customHeight="1" x14ac:dyDescent="0.2">
      <c r="A147" s="1"/>
      <c r="B147" s="213"/>
      <c r="C147" s="29"/>
      <c r="D147" s="28"/>
      <c r="E147" s="28"/>
      <c r="F147" s="28"/>
      <c r="G147" s="27"/>
      <c r="H147" s="27"/>
      <c r="I147" s="6"/>
      <c r="J147" s="6"/>
      <c r="K147" s="6"/>
      <c r="L147" s="6"/>
      <c r="M147" s="252"/>
      <c r="N147" s="252"/>
      <c r="O147" s="229"/>
      <c r="P147" s="34"/>
      <c r="Q147" s="593"/>
      <c r="R147" s="60"/>
      <c r="S147" s="60"/>
      <c r="T147" s="10"/>
      <c r="U147" s="10"/>
      <c r="V147" s="10"/>
    </row>
    <row r="148" spans="1:22" ht="12.75" customHeight="1" x14ac:dyDescent="0.2">
      <c r="A148" s="1"/>
      <c r="B148" s="213"/>
      <c r="C148" s="29"/>
      <c r="D148" s="28"/>
      <c r="E148" s="28"/>
      <c r="F148" s="28"/>
      <c r="G148" s="27"/>
      <c r="H148" s="27"/>
      <c r="I148" s="6"/>
      <c r="J148" s="6"/>
      <c r="K148" s="6"/>
      <c r="L148" s="6"/>
      <c r="M148" s="252"/>
      <c r="N148" s="252"/>
      <c r="O148" s="229"/>
      <c r="P148" s="34"/>
      <c r="Q148" s="601"/>
      <c r="R148" s="60"/>
      <c r="S148" s="60"/>
      <c r="T148" s="10"/>
      <c r="U148" s="10"/>
      <c r="V148" s="10"/>
    </row>
    <row r="149" spans="1:22" ht="12.75" customHeight="1" x14ac:dyDescent="0.2">
      <c r="A149" s="1"/>
      <c r="B149" s="213"/>
      <c r="C149" s="29"/>
      <c r="D149" s="28"/>
      <c r="E149" s="28"/>
      <c r="F149" s="28"/>
      <c r="G149" s="27"/>
      <c r="H149" s="27"/>
      <c r="I149" s="6"/>
      <c r="J149" s="6"/>
      <c r="K149" s="6"/>
      <c r="L149" s="6"/>
      <c r="M149" s="252"/>
      <c r="N149" s="252"/>
      <c r="O149" s="229"/>
      <c r="P149" s="34"/>
      <c r="Q149" s="33"/>
      <c r="R149" s="60"/>
      <c r="S149" s="60"/>
      <c r="T149" s="10"/>
      <c r="U149" s="10"/>
      <c r="V149" s="10"/>
    </row>
    <row r="150" spans="1:22" ht="12.75" customHeight="1" x14ac:dyDescent="0.2">
      <c r="A150" s="1"/>
      <c r="B150" s="30"/>
      <c r="C150" s="30"/>
      <c r="D150" s="6"/>
      <c r="E150" s="6"/>
      <c r="F150" s="6"/>
      <c r="G150" s="6"/>
      <c r="H150" s="6"/>
      <c r="I150" s="6"/>
      <c r="J150" s="6"/>
      <c r="K150" s="6"/>
      <c r="L150" s="6"/>
      <c r="M150" s="252"/>
      <c r="N150" s="252"/>
      <c r="O150" s="229"/>
      <c r="P150" s="34"/>
      <c r="Q150" s="593"/>
      <c r="R150" s="60"/>
      <c r="S150" s="60"/>
      <c r="T150" s="10"/>
      <c r="U150" s="10"/>
      <c r="V150" s="10"/>
    </row>
    <row r="151" spans="1:22" ht="12.75" customHeight="1" x14ac:dyDescent="0.2">
      <c r="A151" s="1"/>
      <c r="B151" s="6"/>
      <c r="C151" s="6"/>
      <c r="D151" s="6"/>
      <c r="E151" s="6"/>
      <c r="F151" s="6"/>
      <c r="G151" s="6"/>
      <c r="H151" s="6"/>
      <c r="I151" s="6"/>
      <c r="J151" s="6"/>
      <c r="K151" s="6"/>
      <c r="L151" s="6"/>
      <c r="M151" s="252"/>
      <c r="N151" s="252"/>
      <c r="O151" s="229"/>
      <c r="P151" s="34"/>
      <c r="Q151" s="60"/>
      <c r="R151" s="60"/>
      <c r="S151" s="60"/>
      <c r="T151" s="10"/>
      <c r="U151" s="10"/>
      <c r="V151" s="10"/>
    </row>
    <row r="152" spans="1:22" ht="12.75" customHeight="1" x14ac:dyDescent="0.2">
      <c r="A152" s="1"/>
      <c r="B152" s="6"/>
      <c r="C152" s="5"/>
      <c r="D152" s="5"/>
      <c r="E152" s="5"/>
      <c r="F152" s="5"/>
      <c r="G152" s="5"/>
      <c r="H152" s="5"/>
      <c r="I152" s="5"/>
      <c r="J152" s="5"/>
      <c r="K152" s="5"/>
      <c r="L152" s="5"/>
      <c r="M152" s="252"/>
      <c r="N152" s="252"/>
      <c r="O152" s="229"/>
      <c r="P152" s="34"/>
      <c r="Q152" s="33"/>
      <c r="R152" s="60"/>
      <c r="S152" s="60"/>
      <c r="T152" s="10"/>
      <c r="U152" s="10"/>
      <c r="V152" s="10"/>
    </row>
    <row r="153" spans="1:22" ht="12.75" customHeight="1" x14ac:dyDescent="0.2">
      <c r="A153" s="1"/>
      <c r="B153" s="6"/>
      <c r="C153" s="6"/>
      <c r="D153" s="6"/>
      <c r="E153" s="6"/>
      <c r="F153" s="6"/>
      <c r="G153" s="6"/>
      <c r="H153" s="6"/>
      <c r="I153" s="6"/>
      <c r="J153" s="6"/>
      <c r="K153" s="6"/>
      <c r="L153" s="6"/>
      <c r="M153" s="252"/>
      <c r="N153" s="252"/>
      <c r="O153" s="229"/>
      <c r="P153" s="34"/>
      <c r="Q153" s="593"/>
      <c r="R153" s="60"/>
      <c r="S153" s="60"/>
      <c r="T153" s="10"/>
      <c r="U153" s="10"/>
      <c r="V153" s="10"/>
    </row>
    <row r="154" spans="1:22" ht="12.75" customHeight="1" x14ac:dyDescent="0.2">
      <c r="A154" s="1"/>
      <c r="B154" s="1"/>
      <c r="C154" s="1"/>
      <c r="D154" s="1122"/>
      <c r="E154" s="6"/>
      <c r="F154" s="6"/>
      <c r="G154" s="6"/>
      <c r="H154" s="6"/>
      <c r="I154" s="6"/>
      <c r="J154" s="6"/>
      <c r="K154" s="6"/>
      <c r="L154" s="6"/>
      <c r="M154" s="252"/>
      <c r="N154" s="252"/>
      <c r="O154" s="229"/>
      <c r="P154" s="34"/>
      <c r="Q154" s="593"/>
      <c r="R154" s="60"/>
      <c r="S154" s="60"/>
      <c r="T154" s="10"/>
      <c r="U154" s="10"/>
      <c r="V154" s="10"/>
    </row>
    <row r="155" spans="1:22" ht="12.75" customHeight="1" x14ac:dyDescent="0.2">
      <c r="A155" s="1"/>
      <c r="B155" s="20"/>
      <c r="C155" s="20"/>
      <c r="D155" s="20"/>
      <c r="E155" s="3"/>
      <c r="F155" s="3"/>
      <c r="G155" s="3"/>
      <c r="H155" s="3"/>
      <c r="I155" s="3"/>
      <c r="J155" s="3"/>
      <c r="K155" s="4"/>
      <c r="L155" s="18"/>
      <c r="M155" s="252"/>
      <c r="N155" s="252"/>
      <c r="O155" s="229"/>
      <c r="P155" s="34"/>
      <c r="Q155" s="60"/>
      <c r="R155" s="60"/>
      <c r="S155" s="60"/>
      <c r="T155" s="10"/>
      <c r="U155" s="10"/>
      <c r="V155" s="10"/>
    </row>
    <row r="156" spans="1:22" ht="12.75" customHeight="1" x14ac:dyDescent="0.2">
      <c r="A156" s="1"/>
      <c r="B156" s="249"/>
      <c r="C156" s="249"/>
      <c r="D156" s="254"/>
      <c r="E156" s="254"/>
      <c r="F156" s="251"/>
      <c r="G156" s="229"/>
      <c r="H156" s="229"/>
      <c r="I156" s="251"/>
      <c r="J156" s="251"/>
      <c r="K156" s="251"/>
      <c r="L156" s="229"/>
      <c r="M156" s="252"/>
      <c r="N156" s="252"/>
      <c r="O156" s="229"/>
      <c r="P156" s="34"/>
      <c r="Q156" s="33"/>
      <c r="R156" s="60"/>
      <c r="S156" s="60"/>
      <c r="T156" s="10"/>
      <c r="U156" s="10"/>
      <c r="V156" s="10"/>
    </row>
    <row r="157" spans="1:22" ht="12.75" customHeight="1" x14ac:dyDescent="0.2">
      <c r="A157" s="1"/>
      <c r="B157" s="249"/>
      <c r="C157" s="249"/>
      <c r="D157" s="254"/>
      <c r="E157" s="254"/>
      <c r="F157" s="251"/>
      <c r="G157" s="229"/>
      <c r="H157" s="229"/>
      <c r="I157" s="251"/>
      <c r="J157" s="251"/>
      <c r="K157" s="251"/>
      <c r="L157" s="229"/>
      <c r="M157" s="252"/>
      <c r="N157" s="252"/>
      <c r="O157" s="229"/>
      <c r="P157" s="34"/>
      <c r="Q157" s="33"/>
      <c r="R157" s="60"/>
      <c r="S157" s="60"/>
      <c r="T157" s="10"/>
      <c r="U157" s="10"/>
      <c r="V157" s="10"/>
    </row>
    <row r="158" spans="1:22" ht="12.75" customHeight="1" x14ac:dyDescent="0.2">
      <c r="A158" s="1"/>
      <c r="B158" s="249"/>
      <c r="C158" s="249"/>
      <c r="D158" s="254"/>
      <c r="E158" s="254"/>
      <c r="F158" s="251"/>
      <c r="G158" s="229"/>
      <c r="H158" s="229"/>
      <c r="I158" s="251"/>
      <c r="J158" s="251"/>
      <c r="K158" s="251"/>
      <c r="L158" s="229"/>
      <c r="M158" s="252"/>
      <c r="N158" s="252"/>
      <c r="O158" s="229"/>
      <c r="P158" s="34"/>
      <c r="Q158" s="33"/>
      <c r="R158" s="60"/>
      <c r="S158" s="60"/>
      <c r="T158" s="10"/>
      <c r="U158" s="10"/>
      <c r="V158" s="10"/>
    </row>
    <row r="159" spans="1:22" ht="12.75" customHeight="1" x14ac:dyDescent="0.2">
      <c r="A159" s="34"/>
      <c r="B159" s="25"/>
      <c r="C159" s="4"/>
      <c r="D159" s="32"/>
      <c r="E159" s="10"/>
      <c r="F159" s="4"/>
      <c r="H159" s="4"/>
      <c r="J159" s="4"/>
      <c r="L159" s="25"/>
      <c r="M159" s="4"/>
      <c r="N159" s="4"/>
      <c r="Q159" s="605"/>
    </row>
    <row r="160" spans="1:22" x14ac:dyDescent="0.2">
      <c r="A160" s="34"/>
    </row>
  </sheetData>
  <mergeCells count="50">
    <mergeCell ref="B1:N1"/>
    <mergeCell ref="B2:N2"/>
    <mergeCell ref="B3:N3"/>
    <mergeCell ref="F74:N74"/>
    <mergeCell ref="F65:N65"/>
    <mergeCell ref="B53:C53"/>
    <mergeCell ref="F62:N62"/>
    <mergeCell ref="F63:N63"/>
    <mergeCell ref="F64:N64"/>
    <mergeCell ref="F72:N72"/>
    <mergeCell ref="F73:N73"/>
    <mergeCell ref="F127:N127"/>
    <mergeCell ref="F128:N128"/>
    <mergeCell ref="F121:N121"/>
    <mergeCell ref="F122:N122"/>
    <mergeCell ref="F123:N123"/>
    <mergeCell ref="B121:C121"/>
    <mergeCell ref="B122:C122"/>
    <mergeCell ref="B127:C127"/>
    <mergeCell ref="B128:C128"/>
    <mergeCell ref="B123:C123"/>
    <mergeCell ref="F114:N114"/>
    <mergeCell ref="F115:N115"/>
    <mergeCell ref="F116:N116"/>
    <mergeCell ref="F75:N75"/>
    <mergeCell ref="F105:N105"/>
    <mergeCell ref="F113:N113"/>
    <mergeCell ref="F82:N82"/>
    <mergeCell ref="F83:N83"/>
    <mergeCell ref="F84:N84"/>
    <mergeCell ref="F85:N85"/>
    <mergeCell ref="F102:N102"/>
    <mergeCell ref="F94:N94"/>
    <mergeCell ref="F104:N104"/>
    <mergeCell ref="B137:C138"/>
    <mergeCell ref="B139:C140"/>
    <mergeCell ref="F103:N103"/>
    <mergeCell ref="F95:N95"/>
    <mergeCell ref="F101:N101"/>
    <mergeCell ref="F96:N96"/>
    <mergeCell ref="F97:N97"/>
    <mergeCell ref="F98:N98"/>
    <mergeCell ref="F100:N100"/>
    <mergeCell ref="F99:N99"/>
    <mergeCell ref="B113:C113"/>
    <mergeCell ref="F117:N117"/>
    <mergeCell ref="B114:C114"/>
    <mergeCell ref="B115:C115"/>
    <mergeCell ref="B117:C117"/>
    <mergeCell ref="B116:C116"/>
  </mergeCells>
  <phoneticPr fontId="9" type="noConversion"/>
  <pageMargins left="0.70866141732283472" right="0.35433070866141736" top="0.74803149606299213" bottom="0.59055118110236227" header="0.39370078740157483" footer="0.51181102362204722"/>
  <pageSetup paperSize="9" scale="53" fitToHeight="2" orientation="portrait" horizontalDpi="1200" verticalDpi="1200" r:id="rId1"/>
  <headerFooter alignWithMargins="0"/>
  <rowBreaks count="1" manualBreakCount="1">
    <brk id="76" max="13" man="1"/>
  </rowBreaks>
  <ignoredErrors>
    <ignoredError sqref="D9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Y350"/>
  <sheetViews>
    <sheetView zoomScaleNormal="100" workbookViewId="0">
      <selection activeCell="B4" sqref="B4"/>
    </sheetView>
  </sheetViews>
  <sheetFormatPr defaultRowHeight="12.75" x14ac:dyDescent="0.2"/>
  <cols>
    <col min="1" max="1" width="2" customWidth="1"/>
    <col min="3" max="3" width="28.85546875" customWidth="1"/>
    <col min="4" max="4" width="12.85546875" customWidth="1"/>
    <col min="5" max="5" width="12.7109375" customWidth="1"/>
    <col min="6" max="6" width="10.85546875" customWidth="1"/>
    <col min="7" max="7" width="9.28515625" customWidth="1"/>
    <col min="8" max="8" width="13.85546875" customWidth="1"/>
    <col min="9" max="9" width="11.7109375" customWidth="1"/>
    <col min="10" max="10" width="14.140625" customWidth="1"/>
    <col min="11" max="11" width="21.5703125" customWidth="1"/>
    <col min="12" max="12" width="13" customWidth="1"/>
    <col min="13" max="13" width="1.7109375" customWidth="1"/>
    <col min="14" max="14" width="11" customWidth="1"/>
    <col min="15" max="15" width="6" customWidth="1"/>
    <col min="16" max="16" width="13.5703125" customWidth="1"/>
    <col min="17" max="17" width="9.140625" hidden="1" customWidth="1"/>
  </cols>
  <sheetData>
    <row r="1" spans="1:25" ht="22.5" customHeight="1" x14ac:dyDescent="0.2">
      <c r="B1" s="2063" t="s">
        <v>1448</v>
      </c>
      <c r="C1" s="2063"/>
      <c r="D1" s="2063"/>
      <c r="E1" s="2063"/>
      <c r="F1" s="2063"/>
      <c r="G1" s="2063"/>
      <c r="H1" s="2063"/>
      <c r="I1" s="2063"/>
      <c r="J1" s="2063"/>
      <c r="K1" s="2063"/>
      <c r="L1" s="2063"/>
      <c r="M1" s="2063"/>
      <c r="N1" s="2063"/>
      <c r="O1" s="2063"/>
      <c r="P1" s="2"/>
      <c r="Q1" s="11"/>
      <c r="R1" s="1"/>
      <c r="S1" s="1"/>
      <c r="T1" s="1"/>
      <c r="U1" s="1"/>
      <c r="V1" s="10"/>
    </row>
    <row r="2" spans="1:25" ht="166.5" customHeight="1" x14ac:dyDescent="0.2">
      <c r="B2" s="2061"/>
      <c r="C2" s="2061"/>
      <c r="D2" s="2061"/>
      <c r="E2" s="2061"/>
      <c r="F2" s="2061"/>
      <c r="G2" s="2061"/>
      <c r="H2" s="2061"/>
      <c r="I2" s="2061"/>
      <c r="J2" s="2061"/>
      <c r="K2" s="2061"/>
      <c r="L2" s="2061"/>
      <c r="M2" s="2061"/>
      <c r="N2" s="2061"/>
      <c r="O2" s="2061"/>
      <c r="P2" s="2"/>
      <c r="Q2" s="10"/>
      <c r="R2" s="1"/>
      <c r="S2" s="1"/>
      <c r="T2" s="1"/>
      <c r="U2" s="1"/>
      <c r="V2" s="10"/>
    </row>
    <row r="3" spans="1:25" ht="15" customHeight="1" x14ac:dyDescent="0.2">
      <c r="A3" s="1"/>
      <c r="B3" s="2064" t="s">
        <v>1449</v>
      </c>
      <c r="C3" s="2064"/>
      <c r="D3" s="2064"/>
      <c r="E3" s="2064"/>
      <c r="F3" s="2064"/>
      <c r="G3" s="2064"/>
      <c r="H3" s="2064"/>
      <c r="I3" s="2064"/>
      <c r="J3" s="2064"/>
      <c r="K3" s="2064"/>
      <c r="L3" s="2064"/>
      <c r="M3" s="2064"/>
      <c r="N3" s="2064"/>
      <c r="O3" s="2064"/>
      <c r="P3" s="417"/>
      <c r="Q3" s="34"/>
      <c r="R3" s="34"/>
      <c r="S3" s="34"/>
      <c r="T3" s="34"/>
      <c r="U3" s="60"/>
      <c r="V3" s="60"/>
      <c r="W3" s="60"/>
      <c r="X3" s="34"/>
      <c r="Y3" s="34"/>
    </row>
    <row r="4" spans="1:25" ht="37.5" customHeight="1" x14ac:dyDescent="0.2">
      <c r="A4" s="1"/>
      <c r="B4" s="1"/>
      <c r="C4" s="405" t="s">
        <v>153</v>
      </c>
      <c r="D4" s="20"/>
      <c r="E4" s="407"/>
      <c r="F4" s="408"/>
      <c r="G4" s="408"/>
      <c r="H4" s="409"/>
      <c r="I4" s="410"/>
      <c r="J4" s="411"/>
      <c r="K4" s="412"/>
      <c r="L4" s="412"/>
      <c r="M4" s="413"/>
      <c r="N4" s="414"/>
      <c r="O4" s="415"/>
      <c r="P4" s="418"/>
      <c r="Q4" s="60"/>
      <c r="R4" s="602"/>
      <c r="S4" s="60"/>
      <c r="T4" s="60"/>
      <c r="U4" s="60"/>
      <c r="V4" s="60"/>
      <c r="W4" s="60"/>
      <c r="X4" s="34"/>
      <c r="Y4" s="34"/>
    </row>
    <row r="5" spans="1:25" ht="15" customHeight="1" thickBot="1" x14ac:dyDescent="0.25">
      <c r="A5" s="1"/>
      <c r="B5" s="1"/>
      <c r="C5" s="406"/>
      <c r="D5" s="1009"/>
      <c r="E5" s="1009"/>
      <c r="F5" s="1009"/>
      <c r="G5" s="1009"/>
      <c r="H5" s="1010"/>
      <c r="I5" s="1010"/>
      <c r="J5" s="1010"/>
      <c r="K5" s="1010"/>
      <c r="L5" s="275"/>
      <c r="M5" s="275"/>
      <c r="N5" s="275"/>
      <c r="O5" s="416"/>
      <c r="P5" s="418"/>
      <c r="Q5" s="2"/>
      <c r="R5" s="33"/>
      <c r="S5" s="60"/>
      <c r="T5" s="60"/>
      <c r="U5" s="60"/>
      <c r="V5" s="60"/>
      <c r="W5" s="10"/>
      <c r="X5" s="10"/>
    </row>
    <row r="6" spans="1:25" ht="15" customHeight="1" x14ac:dyDescent="0.25">
      <c r="A6" s="1"/>
      <c r="B6" s="1"/>
      <c r="C6" s="1003"/>
      <c r="D6" s="951"/>
      <c r="E6" s="952"/>
      <c r="F6" s="858"/>
      <c r="G6" s="858" t="s">
        <v>534</v>
      </c>
      <c r="H6" s="858"/>
      <c r="I6" s="953"/>
      <c r="J6" s="858"/>
      <c r="K6" s="1088"/>
      <c r="L6" s="234"/>
      <c r="M6" s="237"/>
      <c r="N6" s="235"/>
      <c r="O6" s="238"/>
      <c r="P6" s="418"/>
      <c r="Q6" s="2"/>
      <c r="R6" s="33"/>
      <c r="S6" s="60"/>
      <c r="T6" s="60"/>
      <c r="U6" s="60"/>
      <c r="V6" s="60"/>
      <c r="W6" s="10"/>
      <c r="X6" s="10"/>
    </row>
    <row r="7" spans="1:25" ht="15" customHeight="1" x14ac:dyDescent="0.2">
      <c r="A7" s="1"/>
      <c r="B7" s="1"/>
      <c r="C7" s="875"/>
      <c r="D7" s="218"/>
      <c r="E7" s="593"/>
      <c r="F7" s="218"/>
      <c r="G7" s="863"/>
      <c r="H7" s="218"/>
      <c r="I7" s="219"/>
      <c r="J7" s="219"/>
      <c r="K7" s="862"/>
      <c r="L7" s="277"/>
      <c r="M7" s="277"/>
      <c r="N7" s="236"/>
      <c r="O7" s="239"/>
      <c r="P7" s="401"/>
      <c r="Q7" s="2"/>
      <c r="R7" s="33"/>
      <c r="S7" s="60"/>
      <c r="T7" s="60"/>
      <c r="U7" s="60"/>
      <c r="V7" s="60"/>
      <c r="W7" s="10"/>
      <c r="X7" s="10"/>
    </row>
    <row r="8" spans="1:25" ht="15" customHeight="1" x14ac:dyDescent="0.2">
      <c r="A8" s="1"/>
      <c r="B8" s="1"/>
      <c r="C8" s="875"/>
      <c r="D8" s="218" t="s">
        <v>576</v>
      </c>
      <c r="E8" s="33"/>
      <c r="F8" s="218"/>
      <c r="G8" s="863"/>
      <c r="H8" s="218" t="s">
        <v>556</v>
      </c>
      <c r="I8" s="218"/>
      <c r="J8" s="218"/>
      <c r="K8" s="863"/>
      <c r="L8" s="421"/>
      <c r="M8" s="279"/>
      <c r="N8" s="219"/>
      <c r="O8" s="232"/>
      <c r="P8" s="401"/>
      <c r="Q8" s="2"/>
      <c r="R8" s="593"/>
      <c r="S8" s="60"/>
      <c r="T8" s="60"/>
      <c r="U8" s="60"/>
      <c r="V8" s="60"/>
      <c r="W8" s="10"/>
      <c r="X8" s="10"/>
    </row>
    <row r="9" spans="1:25" ht="15" customHeight="1" x14ac:dyDescent="0.2">
      <c r="A9" s="1"/>
      <c r="B9" s="1"/>
      <c r="C9" s="876"/>
      <c r="D9" s="259"/>
      <c r="E9" s="33"/>
      <c r="F9" s="225"/>
      <c r="G9" s="864"/>
      <c r="H9" s="259"/>
      <c r="I9" s="225"/>
      <c r="J9" s="225"/>
      <c r="K9" s="864"/>
      <c r="L9" s="422"/>
      <c r="M9" s="278"/>
      <c r="N9" s="220"/>
      <c r="O9" s="233"/>
      <c r="P9" s="401"/>
      <c r="Q9" s="2"/>
      <c r="R9" s="33"/>
      <c r="S9" s="60"/>
      <c r="T9" s="60"/>
      <c r="U9" s="60"/>
      <c r="V9" s="60"/>
      <c r="W9" s="10"/>
      <c r="X9" s="10"/>
    </row>
    <row r="10" spans="1:25" ht="15" customHeight="1" x14ac:dyDescent="0.2">
      <c r="A10" s="1"/>
      <c r="B10" s="1"/>
      <c r="C10" s="876"/>
      <c r="D10" s="257" t="s">
        <v>710</v>
      </c>
      <c r="E10" s="33"/>
      <c r="F10" s="225"/>
      <c r="G10" s="864"/>
      <c r="H10" s="257" t="s">
        <v>637</v>
      </c>
      <c r="I10" s="225"/>
      <c r="J10" s="225"/>
      <c r="K10" s="864"/>
      <c r="L10" s="422"/>
      <c r="M10" s="278"/>
      <c r="N10" s="220"/>
      <c r="O10" s="233"/>
      <c r="P10" s="401"/>
      <c r="Q10" s="2"/>
      <c r="R10" s="60"/>
      <c r="S10" s="60"/>
      <c r="T10" s="60"/>
      <c r="U10" s="60"/>
      <c r="V10" s="60"/>
      <c r="W10" s="10"/>
      <c r="X10" s="10"/>
    </row>
    <row r="11" spans="1:25" ht="15" customHeight="1" x14ac:dyDescent="0.2">
      <c r="A11" s="1"/>
      <c r="B11" s="1"/>
      <c r="C11" s="876"/>
      <c r="D11" s="219"/>
      <c r="E11" s="60"/>
      <c r="F11" s="219"/>
      <c r="G11" s="862"/>
      <c r="H11" s="258" t="s">
        <v>636</v>
      </c>
      <c r="I11" s="219"/>
      <c r="J11" s="219"/>
      <c r="K11" s="864"/>
      <c r="L11" s="422"/>
      <c r="M11" s="278"/>
      <c r="N11" s="220"/>
      <c r="O11" s="233"/>
      <c r="P11" s="401"/>
      <c r="Q11" s="2"/>
      <c r="R11" s="602"/>
      <c r="S11" s="60"/>
      <c r="T11" s="60"/>
      <c r="U11" s="60"/>
      <c r="V11" s="60"/>
      <c r="W11" s="10"/>
      <c r="X11" s="10"/>
    </row>
    <row r="12" spans="1:25" ht="15" customHeight="1" x14ac:dyDescent="0.2">
      <c r="A12" s="1"/>
      <c r="B12" s="1"/>
      <c r="C12" s="877"/>
      <c r="D12" s="1002" t="s">
        <v>909</v>
      </c>
      <c r="E12" s="522"/>
      <c r="F12" s="240"/>
      <c r="G12" s="882"/>
      <c r="H12" s="240" t="s">
        <v>910</v>
      </c>
      <c r="I12" s="240"/>
      <c r="J12" s="382"/>
      <c r="K12" s="865"/>
      <c r="L12" s="236"/>
      <c r="M12" s="236"/>
      <c r="N12" s="219"/>
      <c r="O12" s="232"/>
      <c r="P12" s="401"/>
      <c r="Q12" s="2"/>
      <c r="R12" s="33"/>
      <c r="S12" s="60"/>
      <c r="T12" s="60"/>
      <c r="U12" s="60"/>
      <c r="V12" s="60"/>
      <c r="W12" s="10"/>
      <c r="X12" s="10"/>
    </row>
    <row r="13" spans="1:25" ht="15" customHeight="1" x14ac:dyDescent="0.2">
      <c r="A13" s="1"/>
      <c r="B13" s="1"/>
      <c r="C13" s="1004"/>
      <c r="D13" s="248" t="s">
        <v>772</v>
      </c>
      <c r="E13" s="243"/>
      <c r="F13" s="242"/>
      <c r="G13" s="883"/>
      <c r="H13" s="244"/>
      <c r="I13" s="244"/>
      <c r="J13" s="394"/>
      <c r="K13" s="1005"/>
      <c r="L13" s="236"/>
      <c r="M13" s="236"/>
      <c r="N13" s="219"/>
      <c r="O13" s="232"/>
      <c r="P13" s="401"/>
      <c r="Q13" s="2"/>
      <c r="R13" s="60"/>
      <c r="S13" s="60"/>
      <c r="T13" s="60"/>
      <c r="U13" s="60"/>
      <c r="V13" s="60"/>
      <c r="W13" s="10"/>
      <c r="X13" s="10"/>
    </row>
    <row r="14" spans="1:25" ht="15" customHeight="1" x14ac:dyDescent="0.2">
      <c r="A14" s="1"/>
      <c r="B14" s="1"/>
      <c r="C14" s="879"/>
      <c r="D14" s="245" t="s">
        <v>411</v>
      </c>
      <c r="E14" s="246"/>
      <c r="F14" s="245"/>
      <c r="G14" s="884"/>
      <c r="H14" s="245" t="s">
        <v>773</v>
      </c>
      <c r="I14" s="245"/>
      <c r="J14" s="395"/>
      <c r="K14" s="862"/>
      <c r="L14" s="236"/>
      <c r="M14" s="236"/>
      <c r="N14" s="219"/>
      <c r="O14" s="400"/>
      <c r="P14" s="401"/>
      <c r="Q14" s="2"/>
      <c r="R14" s="602"/>
      <c r="S14" s="60"/>
      <c r="T14" s="60"/>
      <c r="U14" s="60"/>
      <c r="V14" s="60"/>
      <c r="W14" s="10"/>
      <c r="X14" s="10"/>
    </row>
    <row r="15" spans="1:25" ht="15" customHeight="1" x14ac:dyDescent="0.2">
      <c r="A15" s="1"/>
      <c r="B15" s="1"/>
      <c r="C15" s="879"/>
      <c r="D15" s="247" t="s">
        <v>775</v>
      </c>
      <c r="E15" s="246"/>
      <c r="F15" s="247"/>
      <c r="G15" s="885"/>
      <c r="H15" s="247" t="s">
        <v>774</v>
      </c>
      <c r="I15" s="247"/>
      <c r="J15" s="420"/>
      <c r="K15" s="1006"/>
      <c r="L15" s="423"/>
      <c r="M15" s="236"/>
      <c r="N15" s="219"/>
      <c r="O15" s="400"/>
      <c r="P15" s="401"/>
      <c r="Q15" s="2"/>
      <c r="R15" s="33"/>
      <c r="S15" s="60"/>
      <c r="T15" s="60"/>
      <c r="U15" s="60"/>
      <c r="V15" s="60"/>
      <c r="W15" s="60"/>
      <c r="X15" s="10"/>
    </row>
    <row r="16" spans="1:25" ht="15" customHeight="1" x14ac:dyDescent="0.2">
      <c r="A16" s="1"/>
      <c r="B16" s="1"/>
      <c r="C16" s="880"/>
      <c r="D16" s="242" t="s">
        <v>1417</v>
      </c>
      <c r="E16" s="246"/>
      <c r="F16" s="242"/>
      <c r="G16" s="883"/>
      <c r="H16" s="242" t="s">
        <v>1418</v>
      </c>
      <c r="I16" s="242"/>
      <c r="J16" s="395"/>
      <c r="K16" s="1007"/>
      <c r="L16" s="424"/>
      <c r="M16" s="236"/>
      <c r="N16" s="219"/>
      <c r="O16" s="400"/>
      <c r="P16" s="401"/>
      <c r="Q16" s="2"/>
      <c r="R16" s="60"/>
      <c r="S16" s="60"/>
      <c r="T16" s="60"/>
      <c r="U16" s="60"/>
      <c r="V16" s="60"/>
      <c r="W16" s="60"/>
      <c r="X16" s="10"/>
    </row>
    <row r="17" spans="1:24" ht="15" customHeight="1" thickBot="1" x14ac:dyDescent="0.25">
      <c r="A17" s="1"/>
      <c r="B17" s="1"/>
      <c r="C17" s="879"/>
      <c r="D17" s="1008"/>
      <c r="E17" s="870"/>
      <c r="F17" s="871"/>
      <c r="G17" s="886"/>
      <c r="H17" s="871"/>
      <c r="I17" s="872"/>
      <c r="J17" s="872"/>
      <c r="K17" s="886"/>
      <c r="L17" s="423"/>
      <c r="M17" s="236"/>
      <c r="N17" s="219"/>
      <c r="O17" s="400"/>
      <c r="P17" s="401"/>
      <c r="Q17" s="2"/>
      <c r="R17" s="33"/>
      <c r="S17" s="60"/>
      <c r="T17" s="60"/>
      <c r="U17" s="60"/>
      <c r="V17" s="60"/>
      <c r="W17" s="60"/>
      <c r="X17" s="10"/>
    </row>
    <row r="18" spans="1:24" ht="13.5" thickBot="1" x14ac:dyDescent="0.25">
      <c r="A18" s="2"/>
      <c r="B18" s="1572"/>
      <c r="C18" s="1573"/>
      <c r="D18" s="1574"/>
      <c r="E18" s="1574"/>
      <c r="F18" s="1574"/>
      <c r="G18" s="1574"/>
      <c r="H18" s="1574"/>
      <c r="I18" s="1574"/>
      <c r="J18" s="1574"/>
      <c r="K18" s="1575"/>
      <c r="L18" s="630"/>
      <c r="M18" s="1576"/>
      <c r="N18" s="2"/>
      <c r="O18" s="2"/>
      <c r="P18" s="2"/>
      <c r="Q18" s="2"/>
      <c r="R18" s="2"/>
    </row>
    <row r="19" spans="1:24" ht="15" customHeight="1" thickTop="1" x14ac:dyDescent="0.2">
      <c r="A19" s="808"/>
      <c r="B19" s="979"/>
      <c r="C19" s="980"/>
      <c r="D19" s="980"/>
      <c r="E19" s="1084"/>
      <c r="F19" s="1084"/>
      <c r="G19" s="1084"/>
      <c r="H19" s="1085"/>
      <c r="I19" s="1085"/>
      <c r="J19" s="1085"/>
      <c r="K19" s="1085"/>
      <c r="L19" s="1085"/>
      <c r="M19" s="1086"/>
      <c r="N19" s="1087"/>
      <c r="O19" s="399"/>
      <c r="P19" s="401"/>
      <c r="Q19" s="2"/>
      <c r="R19" s="33"/>
      <c r="S19" s="60"/>
      <c r="T19" s="60"/>
      <c r="U19" s="60"/>
      <c r="V19" s="60"/>
      <c r="W19" s="60"/>
    </row>
    <row r="20" spans="1:24" ht="30" customHeight="1" thickBot="1" x14ac:dyDescent="0.25">
      <c r="A20" s="808"/>
      <c r="B20" s="1083" t="s">
        <v>503</v>
      </c>
      <c r="C20" s="925"/>
      <c r="D20" s="1078"/>
      <c r="E20" s="1078"/>
      <c r="F20" s="1078"/>
      <c r="G20" s="1078"/>
      <c r="H20" s="1078"/>
      <c r="I20" s="1078"/>
      <c r="J20" s="1078"/>
      <c r="K20" s="1078"/>
      <c r="L20" s="1078"/>
      <c r="M20" s="1078"/>
      <c r="N20" s="1079"/>
      <c r="O20" s="377"/>
      <c r="P20" s="401"/>
      <c r="Q20" s="2"/>
      <c r="R20" s="60"/>
      <c r="S20" s="60"/>
      <c r="T20" s="60"/>
      <c r="U20" s="60"/>
      <c r="V20" s="60"/>
      <c r="W20" s="60"/>
    </row>
    <row r="21" spans="1:24" ht="15" customHeight="1" x14ac:dyDescent="0.2">
      <c r="A21" s="808"/>
      <c r="B21" s="2"/>
      <c r="C21" s="370"/>
      <c r="D21" s="376" t="s">
        <v>154</v>
      </c>
      <c r="E21" s="376"/>
      <c r="F21" s="377"/>
      <c r="G21" s="377"/>
      <c r="H21" s="377"/>
      <c r="I21" s="377"/>
      <c r="J21" s="377"/>
      <c r="K21" s="377"/>
      <c r="L21" s="377"/>
      <c r="M21" s="377"/>
      <c r="N21" s="1011"/>
      <c r="O21" s="397"/>
      <c r="P21" s="401"/>
      <c r="Q21" s="2"/>
      <c r="R21" s="602"/>
      <c r="S21" s="60"/>
      <c r="T21" s="60"/>
      <c r="U21" s="60"/>
      <c r="V21" s="60"/>
      <c r="W21" s="60"/>
    </row>
    <row r="22" spans="1:24" ht="15" customHeight="1" x14ac:dyDescent="0.2">
      <c r="A22" s="808"/>
      <c r="B22" s="2"/>
      <c r="C22" s="370"/>
      <c r="D22" s="376" t="s">
        <v>123</v>
      </c>
      <c r="E22" s="376"/>
      <c r="F22" s="377"/>
      <c r="G22" s="377"/>
      <c r="H22" s="377"/>
      <c r="I22" s="377"/>
      <c r="J22" s="377"/>
      <c r="K22" s="377"/>
      <c r="L22" s="377"/>
      <c r="M22" s="377"/>
      <c r="N22" s="1011"/>
      <c r="O22" s="397"/>
      <c r="P22" s="401"/>
      <c r="Q22" s="2"/>
      <c r="R22" s="602"/>
      <c r="S22" s="60"/>
      <c r="T22" s="60"/>
      <c r="U22" s="60"/>
      <c r="V22" s="60"/>
      <c r="W22" s="60"/>
    </row>
    <row r="23" spans="1:24" ht="15" customHeight="1" x14ac:dyDescent="0.2">
      <c r="A23" s="808"/>
      <c r="B23" s="2"/>
      <c r="C23" s="370"/>
      <c r="D23" s="378" t="s">
        <v>1315</v>
      </c>
      <c r="E23" s="378"/>
      <c r="F23" s="377"/>
      <c r="G23" s="377"/>
      <c r="H23" s="377"/>
      <c r="I23" s="377"/>
      <c r="J23" s="377"/>
      <c r="K23" s="377"/>
      <c r="L23" s="377"/>
      <c r="M23" s="377"/>
      <c r="N23" s="1011"/>
      <c r="O23" s="397"/>
      <c r="P23" s="401"/>
      <c r="Q23" s="2"/>
      <c r="R23" s="33"/>
      <c r="S23" s="60"/>
      <c r="T23" s="60"/>
      <c r="U23" s="60"/>
      <c r="V23" s="60"/>
      <c r="W23" s="60"/>
    </row>
    <row r="24" spans="1:24" ht="15" customHeight="1" x14ac:dyDescent="0.2">
      <c r="A24" s="808"/>
      <c r="B24" s="2"/>
      <c r="C24" s="370"/>
      <c r="D24" s="378" t="s">
        <v>1316</v>
      </c>
      <c r="E24" s="378"/>
      <c r="F24" s="377"/>
      <c r="G24" s="377"/>
      <c r="H24" s="377"/>
      <c r="I24" s="377"/>
      <c r="J24" s="377"/>
      <c r="K24" s="377"/>
      <c r="L24" s="377"/>
      <c r="M24" s="377"/>
      <c r="N24" s="1011"/>
      <c r="O24" s="397"/>
      <c r="P24" s="401"/>
      <c r="Q24" s="2"/>
      <c r="R24" s="33"/>
      <c r="S24" s="60"/>
      <c r="T24" s="60"/>
      <c r="U24" s="60"/>
      <c r="V24" s="60"/>
      <c r="W24" s="60"/>
    </row>
    <row r="25" spans="1:24" ht="15" customHeight="1" x14ac:dyDescent="0.2">
      <c r="A25" s="808"/>
      <c r="B25" s="2"/>
      <c r="C25" s="370"/>
      <c r="D25" s="378" t="s">
        <v>1288</v>
      </c>
      <c r="E25" s="378"/>
      <c r="F25" s="377"/>
      <c r="G25" s="377"/>
      <c r="H25" s="377"/>
      <c r="I25" s="377"/>
      <c r="J25" s="377"/>
      <c r="K25" s="377"/>
      <c r="L25" s="377"/>
      <c r="M25" s="377"/>
      <c r="N25" s="1011"/>
      <c r="O25" s="397"/>
      <c r="P25" s="401"/>
      <c r="Q25" s="2"/>
      <c r="R25" s="60"/>
      <c r="S25" s="60"/>
      <c r="T25" s="60"/>
      <c r="U25" s="60"/>
      <c r="V25" s="60"/>
      <c r="W25" s="60"/>
    </row>
    <row r="26" spans="1:24" ht="15" customHeight="1" x14ac:dyDescent="0.2">
      <c r="A26" s="808"/>
      <c r="B26" s="2"/>
      <c r="C26" s="370"/>
      <c r="D26" s="376" t="s">
        <v>1289</v>
      </c>
      <c r="E26" s="378"/>
      <c r="F26" s="377"/>
      <c r="G26" s="377"/>
      <c r="H26" s="377"/>
      <c r="I26" s="377"/>
      <c r="J26" s="377"/>
      <c r="K26" s="377"/>
      <c r="L26" s="377"/>
      <c r="M26" s="377"/>
      <c r="N26" s="1011"/>
      <c r="O26" s="397"/>
      <c r="P26" s="401"/>
      <c r="Q26" s="2"/>
      <c r="R26" s="33"/>
      <c r="S26" s="60"/>
      <c r="T26" s="60"/>
      <c r="U26" s="60"/>
      <c r="V26" s="60"/>
      <c r="W26" s="60"/>
    </row>
    <row r="27" spans="1:24" ht="15" customHeight="1" x14ac:dyDescent="0.2">
      <c r="A27" s="808"/>
      <c r="B27" s="2"/>
      <c r="C27" s="370"/>
      <c r="D27" s="376" t="s">
        <v>679</v>
      </c>
      <c r="E27" s="378"/>
      <c r="F27" s="377"/>
      <c r="G27" s="377"/>
      <c r="H27" s="377"/>
      <c r="I27" s="377"/>
      <c r="J27" s="377"/>
      <c r="K27" s="377"/>
      <c r="L27" s="377"/>
      <c r="M27" s="377"/>
      <c r="N27" s="1011"/>
      <c r="O27" s="397"/>
      <c r="P27" s="401"/>
      <c r="Q27" s="2"/>
      <c r="R27" s="60"/>
      <c r="S27" s="60"/>
      <c r="T27" s="60"/>
      <c r="U27" s="60"/>
      <c r="V27" s="60"/>
      <c r="W27" s="60"/>
    </row>
    <row r="28" spans="1:24" ht="15" customHeight="1" thickBot="1" x14ac:dyDescent="0.25">
      <c r="A28" s="808"/>
      <c r="B28" s="1015"/>
      <c r="C28" s="938"/>
      <c r="D28" s="1012" t="s">
        <v>680</v>
      </c>
      <c r="E28" s="1012"/>
      <c r="F28" s="1013"/>
      <c r="G28" s="1013"/>
      <c r="H28" s="1013"/>
      <c r="I28" s="1013"/>
      <c r="J28" s="1013"/>
      <c r="K28" s="1013"/>
      <c r="L28" s="1013"/>
      <c r="M28" s="1013"/>
      <c r="N28" s="1014"/>
      <c r="O28" s="397"/>
      <c r="P28" s="401"/>
      <c r="Q28" s="2"/>
      <c r="R28" s="33"/>
      <c r="S28" s="60"/>
      <c r="T28" s="60"/>
      <c r="U28" s="60"/>
      <c r="V28" s="60"/>
      <c r="W28" s="60"/>
    </row>
    <row r="29" spans="1:24" ht="15" customHeight="1" x14ac:dyDescent="0.2">
      <c r="A29" s="1"/>
      <c r="B29" s="2"/>
      <c r="C29" s="370"/>
      <c r="D29" s="397"/>
      <c r="E29" s="398"/>
      <c r="F29" s="377"/>
      <c r="G29" s="377"/>
      <c r="H29" s="377"/>
      <c r="I29" s="377"/>
      <c r="J29" s="377"/>
      <c r="K29" s="377"/>
      <c r="L29" s="377"/>
      <c r="M29" s="377"/>
      <c r="N29" s="377"/>
      <c r="O29" s="397"/>
      <c r="P29" s="401"/>
      <c r="Q29" s="2"/>
      <c r="R29" s="33"/>
      <c r="S29" s="60"/>
      <c r="T29" s="60"/>
      <c r="U29" s="60"/>
      <c r="V29" s="60"/>
      <c r="W29" s="60"/>
    </row>
    <row r="30" spans="1:24" ht="15" customHeight="1" x14ac:dyDescent="0.2">
      <c r="A30" s="1"/>
      <c r="B30" s="1"/>
      <c r="C30" s="287"/>
      <c r="D30" s="488"/>
      <c r="E30" s="489"/>
      <c r="F30" s="490"/>
      <c r="G30" s="490"/>
      <c r="H30" s="490"/>
      <c r="I30" s="490"/>
      <c r="J30" s="490"/>
      <c r="K30" s="490"/>
      <c r="L30" s="377"/>
      <c r="M30" s="377"/>
      <c r="N30" s="377"/>
      <c r="O30" s="397"/>
      <c r="P30" s="401"/>
      <c r="Q30" s="2"/>
      <c r="R30" s="60"/>
      <c r="S30" s="60"/>
      <c r="T30" s="60"/>
      <c r="U30" s="60"/>
      <c r="V30" s="60"/>
      <c r="W30" s="60"/>
    </row>
    <row r="31" spans="1:24" ht="15" customHeight="1" x14ac:dyDescent="0.25">
      <c r="A31" s="1"/>
      <c r="B31" s="1"/>
      <c r="C31" s="287"/>
      <c r="D31" s="491" t="s">
        <v>457</v>
      </c>
      <c r="E31" s="489"/>
      <c r="F31" s="490"/>
      <c r="G31" s="490"/>
      <c r="H31" s="490"/>
      <c r="I31" s="490"/>
      <c r="J31" s="490"/>
      <c r="K31" s="490"/>
      <c r="L31" s="377"/>
      <c r="M31" s="377"/>
      <c r="N31" s="377"/>
      <c r="O31" s="397"/>
      <c r="P31" s="401"/>
      <c r="Q31" s="2"/>
      <c r="R31" s="33"/>
      <c r="S31" s="60"/>
      <c r="T31" s="60"/>
      <c r="U31" s="60"/>
      <c r="V31" s="60"/>
      <c r="W31" s="60"/>
    </row>
    <row r="32" spans="1:24" ht="15" customHeight="1" thickBot="1" x14ac:dyDescent="0.25">
      <c r="A32" s="1"/>
      <c r="B32" s="1015"/>
      <c r="C32" s="1017"/>
      <c r="D32" s="943"/>
      <c r="E32" s="1018"/>
      <c r="F32" s="1013"/>
      <c r="G32" s="1013"/>
      <c r="H32" s="1013"/>
      <c r="I32" s="1013"/>
      <c r="J32" s="1013"/>
      <c r="K32" s="1013"/>
      <c r="L32" s="1013"/>
      <c r="M32" s="1013"/>
      <c r="N32" s="1013"/>
      <c r="O32" s="397"/>
      <c r="P32" s="401"/>
      <c r="Q32" s="2"/>
      <c r="R32" s="60"/>
      <c r="S32" s="60"/>
      <c r="T32" s="60"/>
      <c r="U32" s="60"/>
      <c r="V32" s="60"/>
      <c r="W32" s="60"/>
    </row>
    <row r="33" spans="1:23" ht="16.5" customHeight="1" x14ac:dyDescent="0.2">
      <c r="A33" s="808"/>
      <c r="B33" s="1059" t="s">
        <v>1313</v>
      </c>
      <c r="C33" s="1070" t="s">
        <v>700</v>
      </c>
      <c r="D33" s="1076"/>
      <c r="E33" s="908" t="s">
        <v>1064</v>
      </c>
      <c r="F33" s="1074"/>
      <c r="G33" s="977"/>
      <c r="H33" s="1062"/>
      <c r="I33" s="1062"/>
      <c r="J33" s="1062"/>
      <c r="K33" s="1063" t="s">
        <v>697</v>
      </c>
      <c r="L33" s="1063"/>
      <c r="M33" s="1062"/>
      <c r="N33" s="1072"/>
      <c r="O33" s="397"/>
      <c r="P33" s="401"/>
      <c r="Q33" s="2"/>
      <c r="R33" s="33"/>
      <c r="S33" s="60"/>
      <c r="T33" s="60"/>
      <c r="U33" s="60"/>
      <c r="V33" s="60"/>
      <c r="W33" s="60"/>
    </row>
    <row r="34" spans="1:23" ht="16.5" customHeight="1" x14ac:dyDescent="0.2">
      <c r="A34" s="808"/>
      <c r="B34" s="1019">
        <v>15</v>
      </c>
      <c r="C34" s="1164" t="s">
        <v>30</v>
      </c>
      <c r="D34" s="1246">
        <f>УПР_015РГ1</f>
        <v>19600</v>
      </c>
      <c r="E34" s="1245" t="s">
        <v>505</v>
      </c>
      <c r="F34" s="381"/>
      <c r="G34" s="375"/>
      <c r="H34" s="375"/>
      <c r="I34" s="375"/>
      <c r="J34" s="375"/>
      <c r="K34" s="531"/>
      <c r="L34" s="532"/>
      <c r="M34" s="377"/>
      <c r="N34" s="1030"/>
      <c r="O34" s="397"/>
      <c r="P34" s="401"/>
      <c r="Q34" s="2"/>
      <c r="R34" s="60"/>
      <c r="S34" s="60"/>
      <c r="T34" s="60"/>
      <c r="U34" s="60"/>
      <c r="V34" s="60"/>
      <c r="W34" s="60"/>
    </row>
    <row r="35" spans="1:23" ht="16.5" customHeight="1" x14ac:dyDescent="0.2">
      <c r="A35" s="808"/>
      <c r="B35" s="1155">
        <v>20</v>
      </c>
      <c r="C35" s="1167" t="s">
        <v>750</v>
      </c>
      <c r="D35" s="1177">
        <f>УПР_025РГ1</f>
        <v>21000</v>
      </c>
      <c r="E35" s="426" t="s">
        <v>751</v>
      </c>
      <c r="F35" s="241"/>
      <c r="G35" s="241"/>
      <c r="H35" s="241"/>
      <c r="I35" s="241"/>
      <c r="J35" s="241"/>
      <c r="K35" s="241"/>
      <c r="L35" s="1156"/>
      <c r="M35" s="241"/>
      <c r="N35" s="1157"/>
      <c r="O35" s="397"/>
      <c r="P35" s="401"/>
      <c r="Q35" s="2"/>
      <c r="R35" s="33"/>
      <c r="S35" s="60"/>
      <c r="T35" s="60"/>
      <c r="U35" s="60"/>
      <c r="V35" s="60"/>
      <c r="W35" s="60"/>
    </row>
    <row r="36" spans="1:23" ht="16.5" customHeight="1" x14ac:dyDescent="0.2">
      <c r="A36" s="808"/>
      <c r="B36" s="1019">
        <v>25</v>
      </c>
      <c r="C36" s="1163" t="s">
        <v>31</v>
      </c>
      <c r="D36" s="1181">
        <f>УПР_025РГ1</f>
        <v>21000</v>
      </c>
      <c r="E36" s="1158" t="s">
        <v>1063</v>
      </c>
      <c r="F36" s="1148"/>
      <c r="G36" s="1148"/>
      <c r="H36" s="1148"/>
      <c r="I36" s="1148"/>
      <c r="J36" s="1148"/>
      <c r="K36" s="1148"/>
      <c r="L36" s="533"/>
      <c r="M36" s="534"/>
      <c r="N36" s="1016"/>
      <c r="O36" s="397"/>
      <c r="P36" s="401"/>
      <c r="Q36" s="2"/>
      <c r="R36" s="60"/>
      <c r="S36" s="60"/>
      <c r="T36" s="60"/>
      <c r="U36" s="60"/>
      <c r="V36" s="60"/>
      <c r="W36" s="60"/>
    </row>
    <row r="37" spans="1:23" ht="16.5" customHeight="1" thickBot="1" x14ac:dyDescent="0.25">
      <c r="A37" s="808"/>
      <c r="B37" s="1149">
        <v>32</v>
      </c>
      <c r="C37" s="1244" t="s">
        <v>1229</v>
      </c>
      <c r="D37" s="1247">
        <f>УПР_032РГ1</f>
        <v>18900</v>
      </c>
      <c r="E37" s="1159" t="s">
        <v>1228</v>
      </c>
      <c r="F37" s="1150"/>
      <c r="G37" s="1151"/>
      <c r="H37" s="1152"/>
      <c r="I37" s="1151"/>
      <c r="J37" s="1151"/>
      <c r="K37" s="1150"/>
      <c r="L37" s="1153"/>
      <c r="M37" s="1154"/>
      <c r="N37" s="992"/>
      <c r="O37" s="397"/>
      <c r="P37" s="401"/>
      <c r="Q37" s="2"/>
      <c r="R37" s="60"/>
      <c r="S37" s="60"/>
      <c r="T37" s="60"/>
      <c r="U37" s="60"/>
      <c r="V37" s="60"/>
      <c r="W37" s="60"/>
    </row>
    <row r="38" spans="1:23" ht="15" customHeight="1" x14ac:dyDescent="0.2">
      <c r="A38" s="1"/>
      <c r="B38" s="1"/>
      <c r="C38" s="370"/>
      <c r="D38" s="397"/>
      <c r="E38" s="398"/>
      <c r="F38" s="377"/>
      <c r="G38" s="377"/>
      <c r="H38" s="377"/>
      <c r="I38" s="377"/>
      <c r="J38" s="377"/>
      <c r="K38" s="377"/>
      <c r="L38" s="377"/>
      <c r="M38" s="377"/>
      <c r="N38" s="377"/>
      <c r="O38" s="397"/>
      <c r="P38" s="401"/>
      <c r="Q38" s="2"/>
      <c r="R38" s="33"/>
      <c r="S38" s="60"/>
      <c r="T38" s="60"/>
      <c r="U38" s="60"/>
      <c r="V38" s="60"/>
      <c r="W38" s="60"/>
    </row>
    <row r="39" spans="1:23" ht="15" customHeight="1" x14ac:dyDescent="0.2">
      <c r="A39" s="1"/>
      <c r="B39" s="1"/>
      <c r="C39" s="370"/>
      <c r="D39" s="392"/>
      <c r="E39" s="398"/>
      <c r="F39" s="377"/>
      <c r="G39" s="377"/>
      <c r="H39" s="377"/>
      <c r="I39" s="377"/>
      <c r="J39" s="377"/>
      <c r="K39" s="377"/>
      <c r="L39" s="377"/>
      <c r="M39" s="377"/>
      <c r="N39" s="393"/>
      <c r="O39" s="397"/>
      <c r="P39" s="401"/>
      <c r="Q39" s="2"/>
      <c r="R39" s="60"/>
      <c r="S39" s="60"/>
      <c r="T39" s="60"/>
      <c r="U39" s="60"/>
      <c r="V39" s="60"/>
      <c r="W39" s="60"/>
    </row>
    <row r="40" spans="1:23" ht="15" customHeight="1" x14ac:dyDescent="0.2">
      <c r="A40" s="1"/>
      <c r="B40" s="1"/>
      <c r="C40" s="230"/>
      <c r="D40" s="385"/>
      <c r="E40" s="480"/>
      <c r="F40" s="385"/>
      <c r="G40" s="385"/>
      <c r="H40" s="385"/>
      <c r="I40" s="386"/>
      <c r="J40" s="386"/>
      <c r="K40" s="386"/>
      <c r="L40" s="219"/>
      <c r="M40" s="219"/>
      <c r="N40" s="219"/>
      <c r="O40" s="219"/>
      <c r="P40" s="401"/>
      <c r="Q40" s="2"/>
      <c r="R40" s="33"/>
      <c r="S40" s="60"/>
      <c r="T40" s="60"/>
      <c r="U40" s="60"/>
      <c r="V40" s="60"/>
      <c r="W40" s="60"/>
    </row>
    <row r="41" spans="1:23" ht="15" customHeight="1" x14ac:dyDescent="0.25">
      <c r="A41" s="1"/>
      <c r="B41" s="1"/>
      <c r="C41" s="230"/>
      <c r="D41" s="491" t="s">
        <v>459</v>
      </c>
      <c r="E41" s="480"/>
      <c r="F41" s="385"/>
      <c r="G41" s="385"/>
      <c r="H41" s="385"/>
      <c r="I41" s="386"/>
      <c r="J41" s="386"/>
      <c r="K41" s="386"/>
      <c r="L41" s="219"/>
      <c r="M41" s="219"/>
      <c r="N41" s="393" t="s">
        <v>1286</v>
      </c>
      <c r="O41" s="219"/>
      <c r="P41" s="401"/>
      <c r="Q41" s="2"/>
      <c r="R41" s="33"/>
      <c r="S41" s="60"/>
      <c r="T41" s="60"/>
      <c r="U41" s="60"/>
      <c r="V41" s="60"/>
      <c r="W41" s="60"/>
    </row>
    <row r="42" spans="1:23" ht="15" customHeight="1" thickBot="1" x14ac:dyDescent="0.25">
      <c r="A42" s="1"/>
      <c r="B42" s="1015"/>
      <c r="C42" s="888"/>
      <c r="D42" s="888"/>
      <c r="E42" s="1015"/>
      <c r="F42" s="888"/>
      <c r="G42" s="888"/>
      <c r="H42" s="888"/>
      <c r="I42" s="890"/>
      <c r="J42" s="890"/>
      <c r="K42" s="890"/>
      <c r="L42" s="890"/>
      <c r="M42" s="219"/>
      <c r="N42" s="219" t="s">
        <v>1287</v>
      </c>
      <c r="O42" s="219"/>
      <c r="P42" s="401"/>
      <c r="Q42" s="2"/>
      <c r="R42" s="33"/>
      <c r="S42" s="60"/>
      <c r="T42" s="60"/>
      <c r="U42" s="60"/>
      <c r="V42" s="60"/>
      <c r="W42" s="60"/>
    </row>
    <row r="43" spans="1:23" ht="16.5" customHeight="1" thickBot="1" x14ac:dyDescent="0.25">
      <c r="A43" s="808"/>
      <c r="B43" s="1059" t="s">
        <v>1313</v>
      </c>
      <c r="C43" s="1060" t="s">
        <v>700</v>
      </c>
      <c r="D43" s="1061"/>
      <c r="E43" s="977" t="s">
        <v>1064</v>
      </c>
      <c r="F43" s="1074"/>
      <c r="G43" s="977"/>
      <c r="H43" s="1062"/>
      <c r="I43" s="1062"/>
      <c r="J43" s="1062"/>
      <c r="K43" s="1063" t="s">
        <v>697</v>
      </c>
      <c r="L43" s="1075"/>
      <c r="M43" s="219"/>
      <c r="N43" s="890" t="s">
        <v>1285</v>
      </c>
      <c r="O43" s="219"/>
      <c r="P43" s="401"/>
      <c r="Q43" s="2"/>
      <c r="R43" s="33"/>
      <c r="S43" s="60"/>
      <c r="T43" s="60"/>
      <c r="U43" s="60"/>
      <c r="V43" s="60"/>
      <c r="W43" s="60"/>
    </row>
    <row r="44" spans="1:23" ht="16.5" customHeight="1" x14ac:dyDescent="0.2">
      <c r="A44" s="808"/>
      <c r="B44" s="1160">
        <v>15</v>
      </c>
      <c r="C44" s="1178" t="s">
        <v>574</v>
      </c>
      <c r="D44" s="1180">
        <f>УПР_015ФГ1</f>
        <v>21000</v>
      </c>
      <c r="E44" s="1179" t="s">
        <v>215</v>
      </c>
      <c r="F44" s="1161"/>
      <c r="G44" s="501"/>
      <c r="H44" s="377"/>
      <c r="I44" s="377"/>
      <c r="J44" s="377"/>
      <c r="K44" s="377"/>
      <c r="L44" s="1030"/>
      <c r="M44" s="1021"/>
      <c r="N44" s="1186">
        <f>КОФ_15</f>
        <v>2100</v>
      </c>
      <c r="O44" s="219"/>
      <c r="P44" s="401"/>
      <c r="Q44" s="2"/>
      <c r="R44" s="60"/>
      <c r="S44" s="60"/>
      <c r="T44" s="60"/>
      <c r="U44" s="60"/>
      <c r="V44" s="60"/>
      <c r="W44" s="60"/>
    </row>
    <row r="45" spans="1:23" ht="16.5" customHeight="1" x14ac:dyDescent="0.2">
      <c r="A45" s="808"/>
      <c r="B45" s="1155">
        <v>20</v>
      </c>
      <c r="C45" s="1167" t="s">
        <v>752</v>
      </c>
      <c r="D45" s="1177">
        <f>УПР_025ФГ1</f>
        <v>23800</v>
      </c>
      <c r="E45" s="426" t="s">
        <v>753</v>
      </c>
      <c r="F45" s="504"/>
      <c r="G45" s="528"/>
      <c r="H45" s="241"/>
      <c r="I45" s="241"/>
      <c r="J45" s="241"/>
      <c r="K45" s="241"/>
      <c r="L45" s="1157"/>
      <c r="M45" s="1021"/>
      <c r="N45" s="1022">
        <f>КОФ_25</f>
        <v>2520</v>
      </c>
      <c r="O45" s="219"/>
      <c r="P45" s="401"/>
      <c r="Q45" s="2"/>
      <c r="R45" s="60"/>
      <c r="S45" s="60"/>
      <c r="T45" s="60"/>
      <c r="U45" s="60"/>
      <c r="V45" s="60"/>
      <c r="W45" s="60"/>
    </row>
    <row r="46" spans="1:23" ht="16.5" customHeight="1" x14ac:dyDescent="0.2">
      <c r="A46" s="808"/>
      <c r="B46" s="1160">
        <v>25</v>
      </c>
      <c r="C46" s="1162" t="s">
        <v>575</v>
      </c>
      <c r="D46" s="1181">
        <f>УПР_025ФГ1</f>
        <v>23800</v>
      </c>
      <c r="E46" s="389" t="s">
        <v>216</v>
      </c>
      <c r="F46" s="1161"/>
      <c r="G46" s="501"/>
      <c r="H46" s="377"/>
      <c r="I46" s="377"/>
      <c r="J46" s="377"/>
      <c r="K46" s="377"/>
      <c r="L46" s="1030"/>
      <c r="M46" s="1021"/>
      <c r="N46" s="1023">
        <f>КОФ_25</f>
        <v>2520</v>
      </c>
      <c r="O46" s="219"/>
      <c r="P46" s="401"/>
      <c r="Q46" s="2"/>
      <c r="R46" s="602"/>
      <c r="S46" s="60"/>
      <c r="T46" s="60"/>
      <c r="U46" s="60"/>
      <c r="V46" s="60"/>
      <c r="W46" s="60"/>
    </row>
    <row r="47" spans="1:23" ht="16.5" customHeight="1" x14ac:dyDescent="0.2">
      <c r="A47" s="808"/>
      <c r="B47" s="1155">
        <v>32</v>
      </c>
      <c r="C47" s="1167" t="s">
        <v>32</v>
      </c>
      <c r="D47" s="1177">
        <f>УПР_032ФГ1</f>
        <v>16800</v>
      </c>
      <c r="E47" s="426" t="s">
        <v>217</v>
      </c>
      <c r="F47" s="241"/>
      <c r="G47" s="241"/>
      <c r="H47" s="241"/>
      <c r="I47" s="241"/>
      <c r="J47" s="241"/>
      <c r="K47" s="241"/>
      <c r="L47" s="1157"/>
      <c r="M47" s="1021"/>
      <c r="N47" s="1022">
        <f>КОФ_32</f>
        <v>2800</v>
      </c>
      <c r="O47" s="219"/>
      <c r="P47" s="401"/>
      <c r="Q47" s="2"/>
      <c r="R47" s="33"/>
      <c r="S47" s="60"/>
      <c r="T47" s="60"/>
      <c r="U47" s="60"/>
      <c r="V47" s="60"/>
      <c r="W47" s="60"/>
    </row>
    <row r="48" spans="1:23" ht="16.5" customHeight="1" x14ac:dyDescent="0.2">
      <c r="A48" s="808"/>
      <c r="B48" s="1160">
        <v>40</v>
      </c>
      <c r="C48" s="1162" t="s">
        <v>207</v>
      </c>
      <c r="D48" s="1181">
        <f>УПР_040ФГ1</f>
        <v>16800</v>
      </c>
      <c r="E48" s="1183" t="s">
        <v>218</v>
      </c>
      <c r="F48" s="1172"/>
      <c r="G48" s="501"/>
      <c r="H48" s="1161"/>
      <c r="I48" s="501"/>
      <c r="J48" s="377"/>
      <c r="K48" s="377"/>
      <c r="L48" s="1030"/>
      <c r="M48" s="1021"/>
      <c r="N48" s="1023">
        <f>КОФ_40</f>
        <v>2800</v>
      </c>
      <c r="O48" s="219"/>
      <c r="P48" s="401"/>
      <c r="Q48" s="2"/>
      <c r="R48" s="60"/>
      <c r="S48" s="60"/>
      <c r="T48" s="60"/>
      <c r="U48" s="60"/>
      <c r="V48" s="60"/>
      <c r="W48" s="60"/>
    </row>
    <row r="49" spans="1:23" ht="16.5" customHeight="1" x14ac:dyDescent="0.2">
      <c r="A49" s="808"/>
      <c r="B49" s="1155">
        <v>50</v>
      </c>
      <c r="C49" s="1167" t="s">
        <v>208</v>
      </c>
      <c r="D49" s="1177">
        <f>УПР_050ФГ1</f>
        <v>21000</v>
      </c>
      <c r="E49" s="540" t="s">
        <v>219</v>
      </c>
      <c r="F49" s="504"/>
      <c r="G49" s="528"/>
      <c r="H49" s="504"/>
      <c r="I49" s="528"/>
      <c r="J49" s="241"/>
      <c r="K49" s="241"/>
      <c r="L49" s="1157"/>
      <c r="M49" s="1021"/>
      <c r="N49" s="1022">
        <f>КОФ_50</f>
        <v>3500</v>
      </c>
      <c r="O49" s="219"/>
      <c r="P49" s="401"/>
      <c r="Q49" s="2"/>
      <c r="R49" s="33"/>
      <c r="S49" s="60"/>
      <c r="T49" s="60"/>
      <c r="U49" s="60"/>
      <c r="V49" s="60"/>
      <c r="W49" s="60"/>
    </row>
    <row r="50" spans="1:23" ht="16.5" customHeight="1" x14ac:dyDescent="0.2">
      <c r="A50" s="808"/>
      <c r="B50" s="1160">
        <v>65</v>
      </c>
      <c r="C50" s="1162" t="s">
        <v>209</v>
      </c>
      <c r="D50" s="1181">
        <f>УПР_065ФГ1</f>
        <v>28000</v>
      </c>
      <c r="E50" s="1183" t="s">
        <v>220</v>
      </c>
      <c r="F50" s="1173"/>
      <c r="G50" s="230"/>
      <c r="H50" s="1174"/>
      <c r="I50" s="1175"/>
      <c r="J50" s="219"/>
      <c r="K50" s="219"/>
      <c r="L50" s="1030"/>
      <c r="M50" s="1021"/>
      <c r="N50" s="1023">
        <f>КОФ_65</f>
        <v>3920</v>
      </c>
      <c r="O50" s="219"/>
      <c r="P50" s="401"/>
      <c r="Q50" s="2"/>
      <c r="R50" s="593"/>
      <c r="S50" s="60"/>
      <c r="T50" s="60"/>
      <c r="U50" s="60"/>
      <c r="V50" s="60"/>
      <c r="W50" s="60"/>
    </row>
    <row r="51" spans="1:23" ht="16.5" customHeight="1" x14ac:dyDescent="0.2">
      <c r="A51" s="808"/>
      <c r="B51" s="1155">
        <v>80</v>
      </c>
      <c r="C51" s="1167" t="s">
        <v>210</v>
      </c>
      <c r="D51" s="1177">
        <f>УПР_080ФГ1</f>
        <v>28000</v>
      </c>
      <c r="E51" s="540" t="s">
        <v>567</v>
      </c>
      <c r="F51" s="539"/>
      <c r="G51" s="525"/>
      <c r="H51" s="523"/>
      <c r="I51" s="530"/>
      <c r="J51" s="382"/>
      <c r="K51" s="382"/>
      <c r="L51" s="1157"/>
      <c r="M51" s="1021"/>
      <c r="N51" s="1022">
        <f>КОФ_80</f>
        <v>3920</v>
      </c>
      <c r="O51" s="219"/>
      <c r="P51" s="401"/>
      <c r="Q51" s="2"/>
      <c r="R51" s="60"/>
      <c r="S51" s="60"/>
      <c r="T51" s="60"/>
      <c r="U51" s="60"/>
      <c r="V51" s="60"/>
      <c r="W51" s="60"/>
    </row>
    <row r="52" spans="1:23" ht="16.5" customHeight="1" x14ac:dyDescent="0.2">
      <c r="A52" s="808"/>
      <c r="B52" s="1160">
        <v>100</v>
      </c>
      <c r="C52" s="1162" t="s">
        <v>211</v>
      </c>
      <c r="D52" s="1181">
        <f>УПР_100ФГ1</f>
        <v>33600</v>
      </c>
      <c r="E52" s="389" t="s">
        <v>568</v>
      </c>
      <c r="F52" s="1174"/>
      <c r="G52" s="1173"/>
      <c r="H52" s="1174"/>
      <c r="I52" s="1175"/>
      <c r="J52" s="219"/>
      <c r="K52" s="219"/>
      <c r="L52" s="1030"/>
      <c r="M52" s="1021"/>
      <c r="N52" s="1023">
        <f>КОФ_100</f>
        <v>4620</v>
      </c>
      <c r="O52" s="219"/>
      <c r="P52" s="401"/>
      <c r="Q52" s="2"/>
      <c r="R52" s="60"/>
      <c r="S52" s="60"/>
      <c r="T52" s="60"/>
      <c r="U52" s="60"/>
      <c r="V52" s="60"/>
      <c r="W52" s="60"/>
    </row>
    <row r="53" spans="1:23" ht="16.5" customHeight="1" x14ac:dyDescent="0.2">
      <c r="A53" s="808"/>
      <c r="B53" s="1155">
        <v>125</v>
      </c>
      <c r="C53" s="1167" t="s">
        <v>754</v>
      </c>
      <c r="D53" s="1177">
        <f>УПР_150ФГ1</f>
        <v>49000</v>
      </c>
      <c r="E53" s="426" t="s">
        <v>568</v>
      </c>
      <c r="F53" s="523"/>
      <c r="G53" s="525"/>
      <c r="H53" s="523"/>
      <c r="I53" s="530"/>
      <c r="J53" s="382"/>
      <c r="K53" s="382"/>
      <c r="L53" s="1157"/>
      <c r="M53" s="1021"/>
      <c r="N53" s="1022">
        <f>КОФ_150</f>
        <v>7000</v>
      </c>
      <c r="O53" s="219"/>
      <c r="P53" s="401"/>
      <c r="Q53" s="2"/>
      <c r="R53" s="602"/>
      <c r="S53" s="60"/>
      <c r="T53" s="60"/>
      <c r="U53" s="60"/>
      <c r="V53" s="60"/>
      <c r="W53" s="60"/>
    </row>
    <row r="54" spans="1:23" ht="16.5" customHeight="1" x14ac:dyDescent="0.2">
      <c r="A54" s="808"/>
      <c r="B54" s="1160">
        <v>150</v>
      </c>
      <c r="C54" s="1162" t="s">
        <v>638</v>
      </c>
      <c r="D54" s="1181">
        <f>УПР_150ФГ1</f>
        <v>49000</v>
      </c>
      <c r="E54" s="389" t="s">
        <v>569</v>
      </c>
      <c r="F54" s="1174"/>
      <c r="G54" s="1173"/>
      <c r="H54" s="230"/>
      <c r="I54" s="219"/>
      <c r="J54" s="1176"/>
      <c r="K54" s="1175"/>
      <c r="L54" s="1030"/>
      <c r="M54" s="1021"/>
      <c r="N54" s="1023">
        <f>КОФ_150</f>
        <v>7000</v>
      </c>
      <c r="O54" s="219"/>
      <c r="P54" s="401"/>
      <c r="Q54" s="2"/>
      <c r="R54" s="33"/>
      <c r="S54" s="60"/>
      <c r="T54" s="60"/>
      <c r="U54" s="60"/>
      <c r="V54" s="60"/>
      <c r="W54" s="60"/>
    </row>
    <row r="55" spans="1:23" ht="16.5" customHeight="1" x14ac:dyDescent="0.2">
      <c r="A55" s="808"/>
      <c r="B55" s="1155">
        <v>200</v>
      </c>
      <c r="C55" s="1167" t="s">
        <v>639</v>
      </c>
      <c r="D55" s="1177">
        <f>УПР_200ФГ1</f>
        <v>70000</v>
      </c>
      <c r="E55" s="426" t="s">
        <v>570</v>
      </c>
      <c r="F55" s="523"/>
      <c r="G55" s="525"/>
      <c r="H55" s="383"/>
      <c r="I55" s="382"/>
      <c r="J55" s="382"/>
      <c r="K55" s="382"/>
      <c r="L55" s="1157"/>
      <c r="M55" s="1021"/>
      <c r="N55" s="1022">
        <f>КОФ_200</f>
        <v>12320</v>
      </c>
      <c r="O55" s="219"/>
      <c r="P55" s="401"/>
      <c r="Q55" s="2"/>
      <c r="R55" s="60"/>
      <c r="S55" s="60"/>
      <c r="T55" s="60"/>
      <c r="U55" s="60"/>
      <c r="V55" s="60"/>
      <c r="W55" s="60"/>
    </row>
    <row r="56" spans="1:23" ht="16.5" customHeight="1" x14ac:dyDescent="0.2">
      <c r="A56" s="808"/>
      <c r="B56" s="1160">
        <v>250</v>
      </c>
      <c r="C56" s="1162" t="s">
        <v>270</v>
      </c>
      <c r="D56" s="1181">
        <f>УПР_250ФГ1</f>
        <v>175000</v>
      </c>
      <c r="E56" s="389" t="s">
        <v>571</v>
      </c>
      <c r="F56" s="1174"/>
      <c r="G56" s="1173"/>
      <c r="H56" s="230"/>
      <c r="I56" s="219"/>
      <c r="J56" s="1176"/>
      <c r="K56" s="1175"/>
      <c r="L56" s="1030"/>
      <c r="M56" s="1021"/>
      <c r="N56" s="1023">
        <f>КОФ_250</f>
        <v>17500</v>
      </c>
      <c r="O56" s="219"/>
      <c r="P56" s="401"/>
      <c r="Q56" s="2"/>
      <c r="R56" s="602"/>
      <c r="S56" s="60"/>
      <c r="T56" s="60"/>
      <c r="U56" s="60"/>
      <c r="V56" s="60"/>
      <c r="W56" s="60"/>
    </row>
    <row r="57" spans="1:23" ht="16.5" customHeight="1" x14ac:dyDescent="0.2">
      <c r="A57" s="808"/>
      <c r="B57" s="1155">
        <v>300</v>
      </c>
      <c r="C57" s="1167" t="s">
        <v>271</v>
      </c>
      <c r="D57" s="1177">
        <f>УПР_300ФГ1</f>
        <v>210000</v>
      </c>
      <c r="E57" s="426" t="s">
        <v>571</v>
      </c>
      <c r="F57" s="523"/>
      <c r="G57" s="525"/>
      <c r="H57" s="383"/>
      <c r="I57" s="382"/>
      <c r="J57" s="1166"/>
      <c r="K57" s="530"/>
      <c r="L57" s="1157"/>
      <c r="M57" s="1021"/>
      <c r="N57" s="1022">
        <f>КОФ_300</f>
        <v>21000</v>
      </c>
      <c r="O57" s="219"/>
      <c r="P57" s="401"/>
      <c r="Q57" s="2"/>
      <c r="R57" s="602"/>
      <c r="S57" s="60"/>
      <c r="T57" s="60"/>
      <c r="U57" s="60"/>
      <c r="V57" s="60"/>
      <c r="W57" s="60"/>
    </row>
    <row r="58" spans="1:23" ht="16.5" customHeight="1" x14ac:dyDescent="0.2">
      <c r="A58" s="808"/>
      <c r="B58" s="1160">
        <v>350</v>
      </c>
      <c r="C58" s="1162" t="s">
        <v>776</v>
      </c>
      <c r="D58" s="1181" t="str">
        <f t="shared" ref="D58:D65" si="0">УПР_1000ФГ1</f>
        <v>по запросу</v>
      </c>
      <c r="E58" s="389" t="s">
        <v>571</v>
      </c>
      <c r="F58" s="1174"/>
      <c r="G58" s="1173"/>
      <c r="H58" s="230"/>
      <c r="I58" s="219"/>
      <c r="J58" s="1176"/>
      <c r="K58" s="1175"/>
      <c r="L58" s="1030"/>
      <c r="M58" s="1021"/>
      <c r="N58" s="1023">
        <f>КОФ_350</f>
        <v>26320</v>
      </c>
      <c r="O58" s="219"/>
      <c r="P58" s="401"/>
      <c r="Q58" s="2"/>
      <c r="R58" s="602"/>
      <c r="S58" s="60"/>
      <c r="T58" s="60"/>
      <c r="U58" s="60"/>
      <c r="V58" s="60"/>
      <c r="W58" s="60"/>
    </row>
    <row r="59" spans="1:23" ht="16.5" customHeight="1" x14ac:dyDescent="0.2">
      <c r="A59" s="808"/>
      <c r="B59" s="1155">
        <v>400</v>
      </c>
      <c r="C59" s="1167" t="s">
        <v>777</v>
      </c>
      <c r="D59" s="1177" t="str">
        <f t="shared" si="0"/>
        <v>по запросу</v>
      </c>
      <c r="E59" s="426" t="s">
        <v>571</v>
      </c>
      <c r="F59" s="523"/>
      <c r="G59" s="525"/>
      <c r="H59" s="383"/>
      <c r="I59" s="382"/>
      <c r="J59" s="1166"/>
      <c r="K59" s="530"/>
      <c r="L59" s="1157"/>
      <c r="M59" s="1021"/>
      <c r="N59" s="1022">
        <f>КОФ_400</f>
        <v>31500</v>
      </c>
      <c r="O59" s="219"/>
      <c r="P59" s="401"/>
      <c r="Q59" s="2"/>
      <c r="R59" s="602"/>
      <c r="S59" s="60"/>
      <c r="T59" s="60"/>
      <c r="U59" s="60"/>
      <c r="V59" s="60"/>
      <c r="W59" s="60"/>
    </row>
    <row r="60" spans="1:23" ht="16.5" customHeight="1" x14ac:dyDescent="0.2">
      <c r="A60" s="808"/>
      <c r="B60" s="1160">
        <v>500</v>
      </c>
      <c r="C60" s="1162" t="s">
        <v>778</v>
      </c>
      <c r="D60" s="1181" t="str">
        <f t="shared" si="0"/>
        <v>по запросу</v>
      </c>
      <c r="E60" s="389" t="s">
        <v>571</v>
      </c>
      <c r="F60" s="1174"/>
      <c r="G60" s="1173"/>
      <c r="H60" s="230"/>
      <c r="I60" s="219"/>
      <c r="J60" s="1176"/>
      <c r="K60" s="1175"/>
      <c r="L60" s="1030"/>
      <c r="M60" s="1021"/>
      <c r="N60" s="1023">
        <f>КОФ_500</f>
        <v>43820</v>
      </c>
      <c r="O60" s="219"/>
      <c r="P60" s="401"/>
      <c r="Q60" s="2"/>
      <c r="R60" s="602"/>
      <c r="S60" s="60"/>
      <c r="T60" s="60"/>
      <c r="U60" s="60"/>
      <c r="V60" s="60"/>
      <c r="W60" s="60"/>
    </row>
    <row r="61" spans="1:23" ht="16.5" customHeight="1" x14ac:dyDescent="0.2">
      <c r="A61" s="808"/>
      <c r="B61" s="1155">
        <v>600</v>
      </c>
      <c r="C61" s="1167" t="s">
        <v>779</v>
      </c>
      <c r="D61" s="1177" t="str">
        <f t="shared" si="0"/>
        <v>по запросу</v>
      </c>
      <c r="E61" s="426" t="s">
        <v>571</v>
      </c>
      <c r="F61" s="523"/>
      <c r="G61" s="525"/>
      <c r="H61" s="383"/>
      <c r="I61" s="382"/>
      <c r="J61" s="1166"/>
      <c r="K61" s="530"/>
      <c r="L61" s="1157"/>
      <c r="M61" s="1021"/>
      <c r="N61" s="1022">
        <f>КОФ_600</f>
        <v>70000</v>
      </c>
      <c r="O61" s="219"/>
      <c r="P61" s="401"/>
      <c r="Q61" s="2"/>
      <c r="R61" s="602"/>
      <c r="S61" s="60"/>
      <c r="T61" s="60"/>
      <c r="U61" s="60"/>
      <c r="V61" s="60"/>
      <c r="W61" s="60"/>
    </row>
    <row r="62" spans="1:23" ht="16.5" customHeight="1" x14ac:dyDescent="0.2">
      <c r="A62" s="808"/>
      <c r="B62" s="1160">
        <v>700</v>
      </c>
      <c r="C62" s="1162" t="s">
        <v>780</v>
      </c>
      <c r="D62" s="1181" t="str">
        <f t="shared" si="0"/>
        <v>по запросу</v>
      </c>
      <c r="E62" s="389" t="s">
        <v>571</v>
      </c>
      <c r="F62" s="1174"/>
      <c r="G62" s="1173"/>
      <c r="H62" s="230"/>
      <c r="I62" s="219"/>
      <c r="J62" s="1176"/>
      <c r="K62" s="1175"/>
      <c r="L62" s="1030"/>
      <c r="M62" s="1021"/>
      <c r="N62" s="1023">
        <f>КОФ_700</f>
        <v>87500</v>
      </c>
      <c r="O62" s="219"/>
      <c r="P62" s="401"/>
      <c r="Q62" s="2"/>
      <c r="R62" s="602"/>
      <c r="S62" s="60"/>
      <c r="T62" s="60"/>
      <c r="U62" s="60"/>
      <c r="V62" s="60"/>
      <c r="W62" s="60"/>
    </row>
    <row r="63" spans="1:23" ht="16.5" customHeight="1" x14ac:dyDescent="0.2">
      <c r="A63" s="808"/>
      <c r="B63" s="1155">
        <v>800</v>
      </c>
      <c r="C63" s="1167" t="s">
        <v>781</v>
      </c>
      <c r="D63" s="1177" t="str">
        <f t="shared" si="0"/>
        <v>по запросу</v>
      </c>
      <c r="E63" s="426" t="s">
        <v>571</v>
      </c>
      <c r="F63" s="523"/>
      <c r="G63" s="525"/>
      <c r="H63" s="383"/>
      <c r="I63" s="382"/>
      <c r="J63" s="1166"/>
      <c r="K63" s="530"/>
      <c r="L63" s="1157"/>
      <c r="M63" s="1021"/>
      <c r="N63" s="1022">
        <f>КОФ_800</f>
        <v>122500</v>
      </c>
      <c r="O63" s="219"/>
      <c r="P63" s="401"/>
      <c r="Q63" s="2"/>
      <c r="R63" s="602"/>
      <c r="S63" s="60"/>
      <c r="T63" s="60"/>
      <c r="U63" s="60"/>
      <c r="V63" s="60"/>
      <c r="W63" s="60"/>
    </row>
    <row r="64" spans="1:23" ht="16.5" customHeight="1" x14ac:dyDescent="0.2">
      <c r="A64" s="808"/>
      <c r="B64" s="1160">
        <v>900</v>
      </c>
      <c r="C64" s="1162" t="s">
        <v>782</v>
      </c>
      <c r="D64" s="1181" t="str">
        <f t="shared" si="0"/>
        <v>по запросу</v>
      </c>
      <c r="E64" s="389" t="s">
        <v>571</v>
      </c>
      <c r="F64" s="1174"/>
      <c r="G64" s="1173"/>
      <c r="H64" s="230"/>
      <c r="I64" s="219"/>
      <c r="J64" s="1176"/>
      <c r="K64" s="1175"/>
      <c r="L64" s="1030"/>
      <c r="M64" s="1021"/>
      <c r="N64" s="1023">
        <f>КОФ_900</f>
        <v>168000</v>
      </c>
      <c r="O64" s="219"/>
      <c r="P64" s="401"/>
      <c r="Q64" s="2"/>
      <c r="R64" s="602"/>
      <c r="S64" s="60"/>
      <c r="T64" s="60"/>
      <c r="U64" s="60"/>
      <c r="V64" s="60"/>
      <c r="W64" s="60"/>
    </row>
    <row r="65" spans="1:23" ht="16.5" customHeight="1" thickBot="1" x14ac:dyDescent="0.25">
      <c r="A65" s="808"/>
      <c r="B65" s="1168">
        <v>1000</v>
      </c>
      <c r="C65" s="1182" t="s">
        <v>783</v>
      </c>
      <c r="D65" s="1185" t="str">
        <f t="shared" si="0"/>
        <v>по запросу</v>
      </c>
      <c r="E65" s="1184" t="s">
        <v>1276</v>
      </c>
      <c r="F65" s="1169"/>
      <c r="G65" s="1170"/>
      <c r="H65" s="990"/>
      <c r="I65" s="991"/>
      <c r="J65" s="991"/>
      <c r="K65" s="991"/>
      <c r="L65" s="992"/>
      <c r="M65" s="1021"/>
      <c r="N65" s="1171">
        <f>КОФ_1000</f>
        <v>192500</v>
      </c>
      <c r="O65" s="219"/>
      <c r="P65" s="401"/>
      <c r="Q65" s="2"/>
      <c r="R65" s="33"/>
      <c r="S65" s="60"/>
      <c r="T65" s="60"/>
      <c r="U65" s="60"/>
      <c r="V65" s="60"/>
      <c r="W65" s="60"/>
    </row>
    <row r="66" spans="1:23" ht="15" customHeight="1" x14ac:dyDescent="0.2">
      <c r="A66" s="1"/>
      <c r="B66" s="1"/>
      <c r="C66" s="230"/>
      <c r="D66" s="230"/>
      <c r="E66" s="2"/>
      <c r="F66" s="230"/>
      <c r="G66" s="230"/>
      <c r="H66" s="230"/>
      <c r="I66" s="219"/>
      <c r="J66" s="219"/>
      <c r="K66" s="219"/>
      <c r="L66" s="219"/>
      <c r="M66" s="219"/>
      <c r="N66" s="1020"/>
      <c r="O66" s="219"/>
      <c r="P66" s="401"/>
      <c r="Q66" s="2"/>
      <c r="R66" s="60"/>
      <c r="S66" s="60"/>
      <c r="T66" s="60"/>
      <c r="U66" s="60"/>
      <c r="V66" s="60"/>
      <c r="W66" s="60"/>
    </row>
    <row r="67" spans="1:23" ht="15" customHeight="1" x14ac:dyDescent="0.2">
      <c r="A67" s="1"/>
      <c r="B67" s="1"/>
      <c r="C67" s="230"/>
      <c r="D67" s="392"/>
      <c r="E67" s="2"/>
      <c r="F67" s="230"/>
      <c r="G67" s="230"/>
      <c r="H67" s="230"/>
      <c r="I67" s="219"/>
      <c r="J67" s="219"/>
      <c r="K67" s="219"/>
      <c r="L67" s="219"/>
      <c r="M67" s="219"/>
      <c r="N67" s="393"/>
      <c r="O67" s="219"/>
      <c r="P67" s="401"/>
      <c r="Q67" s="2"/>
      <c r="R67" s="602"/>
      <c r="S67" s="60"/>
      <c r="T67" s="60"/>
      <c r="U67" s="60"/>
      <c r="V67" s="60"/>
      <c r="W67" s="60"/>
    </row>
    <row r="68" spans="1:23" ht="15" customHeight="1" x14ac:dyDescent="0.2">
      <c r="A68" s="1"/>
      <c r="B68" s="1"/>
      <c r="C68" s="230"/>
      <c r="D68" s="385"/>
      <c r="E68" s="480"/>
      <c r="F68" s="385"/>
      <c r="G68" s="385"/>
      <c r="H68" s="385"/>
      <c r="I68" s="386"/>
      <c r="J68" s="386"/>
      <c r="K68" s="386"/>
      <c r="L68" s="219"/>
      <c r="M68" s="219"/>
      <c r="N68" s="219"/>
      <c r="O68" s="219"/>
      <c r="P68" s="401"/>
      <c r="Q68" s="2"/>
      <c r="R68" s="602"/>
      <c r="S68" s="60"/>
      <c r="T68" s="60"/>
      <c r="U68" s="60"/>
      <c r="V68" s="60"/>
      <c r="W68" s="60"/>
    </row>
    <row r="69" spans="1:23" ht="15" customHeight="1" x14ac:dyDescent="0.25">
      <c r="A69" s="1"/>
      <c r="B69" s="1"/>
      <c r="C69" s="230"/>
      <c r="D69" s="491" t="s">
        <v>458</v>
      </c>
      <c r="E69" s="480"/>
      <c r="F69" s="385"/>
      <c r="G69" s="385"/>
      <c r="H69" s="385"/>
      <c r="I69" s="386"/>
      <c r="J69" s="386"/>
      <c r="K69" s="386"/>
      <c r="L69" s="219"/>
      <c r="M69" s="219"/>
      <c r="N69" s="393" t="s">
        <v>1286</v>
      </c>
      <c r="O69" s="219"/>
      <c r="P69" s="401"/>
      <c r="Q69" s="2"/>
      <c r="R69" s="33"/>
      <c r="S69" s="60"/>
      <c r="T69" s="60"/>
      <c r="U69" s="60"/>
      <c r="V69" s="60"/>
      <c r="W69" s="60"/>
    </row>
    <row r="70" spans="1:23" ht="15" customHeight="1" thickBot="1" x14ac:dyDescent="0.25">
      <c r="A70" s="1"/>
      <c r="B70" s="1015"/>
      <c r="C70" s="888"/>
      <c r="D70" s="888"/>
      <c r="E70" s="1015"/>
      <c r="F70" s="888"/>
      <c r="G70" s="888"/>
      <c r="H70" s="888"/>
      <c r="I70" s="890"/>
      <c r="J70" s="890"/>
      <c r="K70" s="890"/>
      <c r="L70" s="890"/>
      <c r="M70" s="219"/>
      <c r="N70" s="219" t="s">
        <v>1287</v>
      </c>
      <c r="O70" s="219"/>
      <c r="P70" s="401"/>
      <c r="Q70" s="2"/>
      <c r="R70" s="60"/>
      <c r="S70" s="60"/>
      <c r="T70" s="60"/>
      <c r="U70" s="60"/>
      <c r="V70" s="60"/>
      <c r="W70" s="60"/>
    </row>
    <row r="71" spans="1:23" ht="16.5" customHeight="1" thickBot="1" x14ac:dyDescent="0.25">
      <c r="A71" s="808"/>
      <c r="B71" s="1059" t="s">
        <v>1313</v>
      </c>
      <c r="C71" s="1060" t="s">
        <v>700</v>
      </c>
      <c r="D71" s="1063"/>
      <c r="E71" s="908" t="s">
        <v>1064</v>
      </c>
      <c r="F71" s="1074"/>
      <c r="G71" s="977"/>
      <c r="H71" s="1062"/>
      <c r="I71" s="1062"/>
      <c r="J71" s="1062"/>
      <c r="K71" s="1063" t="s">
        <v>697</v>
      </c>
      <c r="L71" s="1075"/>
      <c r="M71" s="219"/>
      <c r="N71" s="219" t="s">
        <v>1285</v>
      </c>
      <c r="O71" s="219"/>
      <c r="P71" s="401"/>
      <c r="Q71" s="2"/>
      <c r="R71" s="33"/>
      <c r="S71" s="60"/>
      <c r="T71" s="60"/>
      <c r="U71" s="60"/>
      <c r="V71" s="60"/>
      <c r="W71" s="60"/>
    </row>
    <row r="72" spans="1:23" ht="16.5" customHeight="1" x14ac:dyDescent="0.2">
      <c r="A72" s="808"/>
      <c r="B72" s="1029">
        <v>125</v>
      </c>
      <c r="C72" s="1228" t="s">
        <v>755</v>
      </c>
      <c r="D72" s="1243">
        <f>УПР_150ФСТ1</f>
        <v>38500</v>
      </c>
      <c r="E72" s="426" t="s">
        <v>756</v>
      </c>
      <c r="F72" s="504"/>
      <c r="G72" s="528"/>
      <c r="H72" s="241"/>
      <c r="I72" s="241"/>
      <c r="J72" s="241"/>
      <c r="K72" s="241"/>
      <c r="L72" s="1187"/>
      <c r="M72" s="862"/>
      <c r="N72" s="1165">
        <f>КОФ_150</f>
        <v>7000</v>
      </c>
      <c r="O72" s="219"/>
      <c r="P72" s="401"/>
      <c r="Q72" s="2"/>
      <c r="R72" s="33"/>
      <c r="S72" s="60"/>
      <c r="T72" s="60"/>
      <c r="U72" s="60"/>
      <c r="V72" s="60"/>
      <c r="W72" s="60"/>
    </row>
    <row r="73" spans="1:23" ht="16.5" customHeight="1" x14ac:dyDescent="0.2">
      <c r="A73" s="808"/>
      <c r="B73" s="1028">
        <v>150</v>
      </c>
      <c r="C73" s="1190" t="s">
        <v>646</v>
      </c>
      <c r="D73" s="1189">
        <f>УПР_150ФСТ1</f>
        <v>38500</v>
      </c>
      <c r="E73" s="505" t="s">
        <v>1277</v>
      </c>
      <c r="F73" s="381"/>
      <c r="G73" s="527"/>
      <c r="H73" s="375"/>
      <c r="I73" s="375"/>
      <c r="J73" s="375"/>
      <c r="K73" s="375"/>
      <c r="L73" s="1025"/>
      <c r="M73" s="862"/>
      <c r="N73" s="1023">
        <f>КОФ_150</f>
        <v>7000</v>
      </c>
      <c r="O73" s="219"/>
      <c r="P73" s="401"/>
      <c r="Q73" s="2"/>
      <c r="R73" s="33"/>
      <c r="S73" s="60"/>
      <c r="T73" s="60"/>
      <c r="U73" s="60"/>
      <c r="V73" s="60"/>
      <c r="W73" s="60"/>
    </row>
    <row r="74" spans="1:23" ht="16.5" customHeight="1" x14ac:dyDescent="0.2">
      <c r="A74" s="808"/>
      <c r="B74" s="1029">
        <v>200</v>
      </c>
      <c r="C74" s="1167" t="s">
        <v>647</v>
      </c>
      <c r="D74" s="1177">
        <f>УПР_200ФСТ1</f>
        <v>42000</v>
      </c>
      <c r="E74" s="426" t="s">
        <v>1278</v>
      </c>
      <c r="F74" s="504"/>
      <c r="G74" s="528"/>
      <c r="H74" s="241"/>
      <c r="I74" s="241"/>
      <c r="J74" s="241"/>
      <c r="K74" s="537"/>
      <c r="L74" s="1026"/>
      <c r="M74" s="862"/>
      <c r="N74" s="1022">
        <f>КОФ_200</f>
        <v>12320</v>
      </c>
      <c r="O74" s="219"/>
      <c r="P74" s="401"/>
      <c r="Q74" s="2"/>
      <c r="R74" s="33"/>
      <c r="S74" s="60"/>
      <c r="T74" s="60"/>
      <c r="U74" s="60"/>
      <c r="V74" s="60"/>
      <c r="W74" s="60"/>
    </row>
    <row r="75" spans="1:23" ht="16.5" customHeight="1" thickBot="1" x14ac:dyDescent="0.25">
      <c r="A75" s="808"/>
      <c r="B75" s="1028">
        <v>250</v>
      </c>
      <c r="C75" s="1190" t="s">
        <v>648</v>
      </c>
      <c r="D75" s="1189">
        <f>УПР_250ФСТ1</f>
        <v>70000</v>
      </c>
      <c r="E75" s="505" t="s">
        <v>1279</v>
      </c>
      <c r="F75" s="381"/>
      <c r="G75" s="527"/>
      <c r="H75" s="375"/>
      <c r="I75" s="375"/>
      <c r="J75" s="375"/>
      <c r="K75" s="503"/>
      <c r="L75" s="1025"/>
      <c r="M75" s="862"/>
      <c r="N75" s="1023">
        <f>КОФ_250</f>
        <v>17500</v>
      </c>
      <c r="O75" s="219"/>
      <c r="P75" s="401"/>
      <c r="Q75" s="2"/>
      <c r="R75" s="33"/>
      <c r="S75" s="60"/>
      <c r="T75" s="60"/>
      <c r="U75" s="60"/>
      <c r="V75" s="60"/>
      <c r="W75" s="60"/>
    </row>
    <row r="76" spans="1:23" ht="16.5" customHeight="1" thickTop="1" x14ac:dyDescent="0.2">
      <c r="A76" s="808"/>
      <c r="B76" s="1029">
        <v>300</v>
      </c>
      <c r="C76" s="1242" t="s">
        <v>649</v>
      </c>
      <c r="D76" s="1177">
        <f>УПР_300ФСТ1</f>
        <v>78820</v>
      </c>
      <c r="E76" s="540" t="s">
        <v>1280</v>
      </c>
      <c r="F76" s="526"/>
      <c r="G76" s="528"/>
      <c r="H76" s="504"/>
      <c r="I76" s="528"/>
      <c r="J76" s="241"/>
      <c r="K76" s="537"/>
      <c r="L76" s="1026"/>
      <c r="M76" s="862"/>
      <c r="N76" s="1022">
        <f>КОФ_300</f>
        <v>21000</v>
      </c>
      <c r="O76" s="219"/>
      <c r="P76" s="401"/>
      <c r="Q76" s="2"/>
      <c r="R76" s="60"/>
      <c r="S76" s="60"/>
      <c r="T76" s="60"/>
      <c r="U76" s="60"/>
      <c r="V76" s="60"/>
      <c r="W76" s="60"/>
    </row>
    <row r="77" spans="1:23" ht="16.5" customHeight="1" x14ac:dyDescent="0.2">
      <c r="A77" s="808"/>
      <c r="B77" s="1028">
        <v>350</v>
      </c>
      <c r="C77" s="1190" t="s">
        <v>650</v>
      </c>
      <c r="D77" s="1189">
        <f>УПР_350ФСТ1</f>
        <v>96320</v>
      </c>
      <c r="E77" s="506" t="s">
        <v>1281</v>
      </c>
      <c r="F77" s="538"/>
      <c r="G77" s="527"/>
      <c r="H77" s="381"/>
      <c r="I77" s="527"/>
      <c r="J77" s="375"/>
      <c r="K77" s="375"/>
      <c r="L77" s="1025"/>
      <c r="M77" s="862"/>
      <c r="N77" s="1024">
        <f>КОФ_350</f>
        <v>26320</v>
      </c>
      <c r="O77" s="219"/>
      <c r="P77" s="401"/>
      <c r="Q77" s="2"/>
      <c r="R77" s="602"/>
      <c r="S77" s="60"/>
      <c r="T77" s="60"/>
      <c r="U77" s="60"/>
      <c r="V77" s="60"/>
      <c r="W77" s="60"/>
    </row>
    <row r="78" spans="1:23" ht="16.5" customHeight="1" x14ac:dyDescent="0.2">
      <c r="A78" s="808"/>
      <c r="B78" s="1029">
        <v>400</v>
      </c>
      <c r="C78" s="1167" t="s">
        <v>651</v>
      </c>
      <c r="D78" s="1177">
        <f>УПР_400ФСТ1</f>
        <v>122500</v>
      </c>
      <c r="E78" s="540" t="s">
        <v>1282</v>
      </c>
      <c r="F78" s="539"/>
      <c r="G78" s="383"/>
      <c r="H78" s="523"/>
      <c r="I78" s="530"/>
      <c r="J78" s="382"/>
      <c r="K78" s="535"/>
      <c r="L78" s="1026"/>
      <c r="M78" s="862"/>
      <c r="N78" s="1022">
        <f>КОФ_400</f>
        <v>31500</v>
      </c>
      <c r="O78" s="219"/>
      <c r="P78" s="401"/>
      <c r="Q78" s="2"/>
      <c r="R78" s="602"/>
      <c r="S78" s="60"/>
      <c r="T78" s="60"/>
      <c r="U78" s="60"/>
      <c r="V78" s="60"/>
      <c r="W78" s="60"/>
    </row>
    <row r="79" spans="1:23" ht="16.5" customHeight="1" x14ac:dyDescent="0.2">
      <c r="A79" s="808"/>
      <c r="B79" s="1028">
        <v>500</v>
      </c>
      <c r="C79" s="1190" t="s">
        <v>843</v>
      </c>
      <c r="D79" s="1189">
        <f>УПР_500ФСТ1</f>
        <v>175000</v>
      </c>
      <c r="E79" s="505" t="s">
        <v>1283</v>
      </c>
      <c r="F79" s="524"/>
      <c r="G79" s="529"/>
      <c r="H79" s="524"/>
      <c r="I79" s="379"/>
      <c r="J79" s="379"/>
      <c r="K79" s="536"/>
      <c r="L79" s="1025"/>
      <c r="M79" s="862"/>
      <c r="N79" s="1024">
        <f>КОФ_500</f>
        <v>43820</v>
      </c>
      <c r="O79" s="219"/>
      <c r="P79" s="401"/>
      <c r="Q79" s="2"/>
      <c r="R79" s="602"/>
      <c r="S79" s="60"/>
      <c r="T79" s="60"/>
      <c r="U79" s="60"/>
      <c r="V79" s="60"/>
      <c r="W79" s="60"/>
    </row>
    <row r="80" spans="1:23" ht="16.5" customHeight="1" x14ac:dyDescent="0.2">
      <c r="A80" s="808"/>
      <c r="B80" s="1029">
        <v>600</v>
      </c>
      <c r="C80" s="1167" t="s">
        <v>844</v>
      </c>
      <c r="D80" s="1177">
        <f>УПР_600ФСТ1</f>
        <v>245000</v>
      </c>
      <c r="E80" s="540" t="s">
        <v>640</v>
      </c>
      <c r="F80" s="539"/>
      <c r="G80" s="525"/>
      <c r="H80" s="523"/>
      <c r="I80" s="530"/>
      <c r="J80" s="382"/>
      <c r="K80" s="535"/>
      <c r="L80" s="1026"/>
      <c r="M80" s="862"/>
      <c r="N80" s="1022">
        <f>КОФ_600</f>
        <v>70000</v>
      </c>
      <c r="O80" s="219"/>
      <c r="P80" s="401"/>
      <c r="Q80" s="2"/>
      <c r="R80" s="602"/>
      <c r="S80" s="60"/>
      <c r="T80" s="60"/>
      <c r="U80" s="60"/>
      <c r="V80" s="60"/>
      <c r="W80" s="60"/>
    </row>
    <row r="81" spans="1:23" ht="16.5" customHeight="1" x14ac:dyDescent="0.2">
      <c r="A81" s="808"/>
      <c r="B81" s="1028">
        <v>700</v>
      </c>
      <c r="C81" s="1190" t="s">
        <v>845</v>
      </c>
      <c r="D81" s="1189">
        <f>УПР_700ФСТ1</f>
        <v>280000</v>
      </c>
      <c r="E81" s="505" t="s">
        <v>657</v>
      </c>
      <c r="F81" s="524"/>
      <c r="G81" s="380"/>
      <c r="H81" s="380"/>
      <c r="I81" s="379"/>
      <c r="J81" s="379"/>
      <c r="K81" s="536"/>
      <c r="L81" s="1025"/>
      <c r="M81" s="862"/>
      <c r="N81" s="1024">
        <f>КОФ_700</f>
        <v>87500</v>
      </c>
      <c r="O81" s="219"/>
      <c r="P81" s="401"/>
      <c r="Q81" s="2"/>
      <c r="R81" s="602"/>
      <c r="S81" s="60"/>
      <c r="T81" s="60"/>
      <c r="U81" s="60"/>
      <c r="V81" s="60"/>
      <c r="W81" s="60"/>
    </row>
    <row r="82" spans="1:23" ht="16.5" customHeight="1" x14ac:dyDescent="0.2">
      <c r="A82" s="808"/>
      <c r="B82" s="1029">
        <v>800</v>
      </c>
      <c r="C82" s="1118" t="s">
        <v>245</v>
      </c>
      <c r="D82" s="1275">
        <f>УПР_800ФСТ1</f>
        <v>315000</v>
      </c>
      <c r="E82" s="426" t="s">
        <v>658</v>
      </c>
      <c r="F82" s="523"/>
      <c r="G82" s="525"/>
      <c r="H82" s="383"/>
      <c r="I82" s="382"/>
      <c r="J82" s="382"/>
      <c r="K82" s="382"/>
      <c r="L82" s="1026"/>
      <c r="M82" s="862"/>
      <c r="N82" s="1022">
        <f>КОФ_800</f>
        <v>122500</v>
      </c>
      <c r="O82" s="219"/>
      <c r="P82" s="401"/>
      <c r="Q82" s="2"/>
      <c r="R82" s="602"/>
      <c r="S82" s="60"/>
      <c r="T82" s="60"/>
      <c r="U82" s="60"/>
      <c r="V82" s="60"/>
      <c r="W82" s="60"/>
    </row>
    <row r="83" spans="1:23" ht="16.5" customHeight="1" x14ac:dyDescent="0.2">
      <c r="A83" s="808"/>
      <c r="B83" s="1028">
        <v>900</v>
      </c>
      <c r="C83" s="1190" t="s">
        <v>244</v>
      </c>
      <c r="D83" s="1274">
        <f>УПР_900ФСТ1</f>
        <v>437500</v>
      </c>
      <c r="E83" s="505" t="s">
        <v>659</v>
      </c>
      <c r="F83" s="380"/>
      <c r="G83" s="380"/>
      <c r="H83" s="380"/>
      <c r="I83" s="379"/>
      <c r="J83" s="379"/>
      <c r="K83" s="536"/>
      <c r="L83" s="1025"/>
      <c r="M83" s="862"/>
      <c r="N83" s="1024">
        <f>КОФ_900</f>
        <v>168000</v>
      </c>
      <c r="O83" s="219"/>
      <c r="P83" s="401"/>
      <c r="Q83" s="2"/>
      <c r="R83" s="33"/>
      <c r="S83" s="60"/>
      <c r="T83" s="60"/>
      <c r="U83" s="60"/>
      <c r="V83" s="60"/>
      <c r="W83" s="60"/>
    </row>
    <row r="84" spans="1:23" ht="16.5" customHeight="1" x14ac:dyDescent="0.2">
      <c r="A84" s="808"/>
      <c r="B84" s="1029">
        <v>1000</v>
      </c>
      <c r="C84" s="1167" t="s">
        <v>243</v>
      </c>
      <c r="D84" s="706">
        <f>УПР_1000ФСТ1</f>
        <v>560000</v>
      </c>
      <c r="E84" s="1276" t="s">
        <v>660</v>
      </c>
      <c r="F84" s="383"/>
      <c r="G84" s="383"/>
      <c r="H84" s="383"/>
      <c r="I84" s="382"/>
      <c r="J84" s="382"/>
      <c r="K84" s="535"/>
      <c r="L84" s="1026"/>
      <c r="M84" s="862"/>
      <c r="N84" s="1022">
        <f>КОФ_1000</f>
        <v>192500</v>
      </c>
      <c r="O84" s="219"/>
      <c r="P84" s="401"/>
      <c r="Q84" s="2"/>
      <c r="R84" s="602"/>
      <c r="S84" s="60"/>
      <c r="T84" s="60"/>
      <c r="U84" s="60"/>
      <c r="V84" s="60"/>
      <c r="W84" s="60"/>
    </row>
    <row r="85" spans="1:23" ht="16.5" customHeight="1" x14ac:dyDescent="0.2">
      <c r="A85" s="808"/>
      <c r="B85" s="1028">
        <v>1200</v>
      </c>
      <c r="C85" s="1190" t="s">
        <v>242</v>
      </c>
      <c r="D85" s="1481" t="str">
        <f>УПР_1200ФСТ1</f>
        <v>по запросу</v>
      </c>
      <c r="E85" s="505" t="s">
        <v>661</v>
      </c>
      <c r="F85" s="380"/>
      <c r="G85" s="524"/>
      <c r="H85" s="529"/>
      <c r="I85" s="379"/>
      <c r="J85" s="379"/>
      <c r="K85" s="536"/>
      <c r="L85" s="1027"/>
      <c r="M85" s="862"/>
      <c r="N85" s="1728" t="str">
        <f>КОФ_1200</f>
        <v>по запросу</v>
      </c>
      <c r="O85" s="219"/>
      <c r="P85" s="401"/>
      <c r="Q85" s="2"/>
      <c r="R85" s="33"/>
      <c r="S85" s="60"/>
      <c r="T85" s="60"/>
      <c r="U85" s="60"/>
      <c r="V85" s="60"/>
      <c r="W85" s="60"/>
    </row>
    <row r="86" spans="1:23" ht="16.5" customHeight="1" thickBot="1" x14ac:dyDescent="0.25">
      <c r="A86" s="808"/>
      <c r="B86" s="1191">
        <v>1400</v>
      </c>
      <c r="C86" s="1182" t="s">
        <v>241</v>
      </c>
      <c r="D86" s="1482" t="str">
        <f>УПР_1400ФСТ1</f>
        <v>по запросу</v>
      </c>
      <c r="E86" s="1184" t="s">
        <v>757</v>
      </c>
      <c r="F86" s="990"/>
      <c r="G86" s="990"/>
      <c r="H86" s="990"/>
      <c r="I86" s="991"/>
      <c r="J86" s="991"/>
      <c r="K86" s="991"/>
      <c r="L86" s="1192"/>
      <c r="M86" s="862"/>
      <c r="N86" s="1726" t="str">
        <f>КОФ_1400</f>
        <v>по запросу</v>
      </c>
      <c r="O86" s="219"/>
      <c r="P86" s="401"/>
      <c r="Q86" s="2"/>
      <c r="R86" s="60"/>
      <c r="S86" s="60"/>
      <c r="T86" s="60"/>
      <c r="U86" s="60"/>
      <c r="V86" s="60"/>
      <c r="W86" s="60"/>
    </row>
    <row r="87" spans="1:23" ht="7.5" customHeight="1" x14ac:dyDescent="0.2">
      <c r="A87" s="1"/>
      <c r="B87" s="1"/>
      <c r="C87" s="230"/>
      <c r="D87" s="230"/>
      <c r="E87" s="2"/>
      <c r="F87" s="230"/>
      <c r="G87" s="230"/>
      <c r="H87" s="230"/>
      <c r="I87" s="219"/>
      <c r="J87" s="219"/>
      <c r="K87" s="219"/>
      <c r="L87" s="219"/>
      <c r="M87" s="219"/>
      <c r="N87" s="1020"/>
      <c r="O87" s="219"/>
      <c r="P87" s="401"/>
      <c r="Q87" s="2"/>
      <c r="R87" s="33"/>
      <c r="S87" s="60"/>
      <c r="T87" s="60"/>
      <c r="U87" s="60"/>
      <c r="V87" s="60"/>
      <c r="W87" s="60"/>
    </row>
    <row r="88" spans="1:23" ht="15" customHeight="1" x14ac:dyDescent="0.2">
      <c r="A88" s="1"/>
      <c r="B88" s="1"/>
      <c r="C88" s="230"/>
      <c r="D88" s="392"/>
      <c r="E88" s="2"/>
      <c r="F88" s="230"/>
      <c r="G88" s="230"/>
      <c r="H88" s="230"/>
      <c r="I88" s="219"/>
      <c r="J88" s="219"/>
      <c r="K88" s="219"/>
      <c r="L88" s="219"/>
      <c r="M88" s="219"/>
      <c r="N88" s="219"/>
      <c r="O88" s="219"/>
      <c r="P88" s="401"/>
      <c r="Q88" s="2"/>
      <c r="R88" s="60"/>
      <c r="S88" s="60"/>
      <c r="T88" s="60"/>
      <c r="U88" s="60"/>
      <c r="V88" s="60"/>
      <c r="W88" s="60"/>
    </row>
    <row r="89" spans="1:23" ht="15" customHeight="1" x14ac:dyDescent="0.2">
      <c r="A89" s="1"/>
      <c r="B89" s="1"/>
      <c r="C89" s="230"/>
      <c r="D89" s="392"/>
      <c r="E89" s="2"/>
      <c r="F89" s="230"/>
      <c r="G89" s="230"/>
      <c r="H89" s="230"/>
      <c r="I89" s="219"/>
      <c r="J89" s="219"/>
      <c r="K89" s="219"/>
      <c r="L89" s="219"/>
      <c r="M89" s="219"/>
      <c r="N89" s="219"/>
      <c r="O89" s="219"/>
      <c r="P89" s="401"/>
      <c r="Q89" s="2"/>
      <c r="R89" s="60"/>
      <c r="S89" s="60"/>
      <c r="T89" s="60"/>
      <c r="U89" s="60"/>
      <c r="V89" s="60"/>
      <c r="W89" s="60"/>
    </row>
    <row r="90" spans="1:23" ht="15" customHeight="1" x14ac:dyDescent="0.2">
      <c r="A90" s="1"/>
      <c r="B90" s="1"/>
      <c r="C90" s="230"/>
      <c r="D90" s="385"/>
      <c r="E90" s="480"/>
      <c r="F90" s="385"/>
      <c r="G90" s="385"/>
      <c r="H90" s="385"/>
      <c r="I90" s="386"/>
      <c r="J90" s="386"/>
      <c r="K90" s="386"/>
      <c r="L90" s="219"/>
      <c r="M90" s="219"/>
      <c r="N90" s="219"/>
      <c r="O90" s="219"/>
      <c r="P90" s="401"/>
      <c r="Q90" s="2"/>
      <c r="R90" s="602"/>
      <c r="S90" s="60"/>
      <c r="T90" s="60"/>
      <c r="U90" s="60"/>
      <c r="V90" s="60"/>
      <c r="W90" s="60"/>
    </row>
    <row r="91" spans="1:23" ht="15" customHeight="1" x14ac:dyDescent="0.25">
      <c r="A91" s="1"/>
      <c r="B91" s="1"/>
      <c r="C91" s="230"/>
      <c r="D91" s="478" t="s">
        <v>1284</v>
      </c>
      <c r="E91" s="480"/>
      <c r="F91" s="385"/>
      <c r="G91" s="385"/>
      <c r="H91" s="385"/>
      <c r="I91" s="386"/>
      <c r="J91" s="386"/>
      <c r="K91" s="386"/>
      <c r="L91" s="219"/>
      <c r="M91" s="219"/>
      <c r="N91" s="219"/>
      <c r="O91" s="219"/>
      <c r="P91" s="401"/>
      <c r="Q91" s="2"/>
      <c r="R91" s="602"/>
      <c r="S91" s="60"/>
      <c r="T91" s="60"/>
      <c r="U91" s="60"/>
      <c r="V91" s="60"/>
      <c r="W91" s="60"/>
    </row>
    <row r="92" spans="1:23" ht="15" customHeight="1" thickBot="1" x14ac:dyDescent="0.25">
      <c r="A92" s="1"/>
      <c r="B92" s="1"/>
      <c r="C92" s="230"/>
      <c r="D92" s="230"/>
      <c r="E92" s="2"/>
      <c r="F92" s="230"/>
      <c r="G92" s="230"/>
      <c r="H92" s="230"/>
      <c r="I92" s="219"/>
      <c r="J92" s="219"/>
      <c r="K92" s="219"/>
      <c r="L92" s="219"/>
      <c r="M92" s="219"/>
      <c r="N92" s="219"/>
      <c r="O92" s="219"/>
      <c r="P92" s="401"/>
      <c r="Q92" s="2"/>
      <c r="R92" s="33"/>
      <c r="S92" s="60"/>
      <c r="T92" s="60"/>
      <c r="U92" s="60"/>
      <c r="V92" s="60"/>
      <c r="W92" s="60"/>
    </row>
    <row r="93" spans="1:23" ht="16.5" customHeight="1" x14ac:dyDescent="0.2">
      <c r="A93" s="808"/>
      <c r="B93" s="1059" t="s">
        <v>1313</v>
      </c>
      <c r="C93" s="1070" t="s">
        <v>700</v>
      </c>
      <c r="D93" s="1076"/>
      <c r="E93" s="977" t="s">
        <v>1064</v>
      </c>
      <c r="F93" s="1074"/>
      <c r="G93" s="977"/>
      <c r="H93" s="1062"/>
      <c r="I93" s="1062"/>
      <c r="J93" s="1062"/>
      <c r="K93" s="1063" t="s">
        <v>697</v>
      </c>
      <c r="L93" s="1063"/>
      <c r="M93" s="1064"/>
      <c r="N93" s="1065"/>
      <c r="O93" s="219"/>
      <c r="P93" s="401"/>
      <c r="Q93" s="2"/>
      <c r="R93" s="33"/>
      <c r="S93" s="60"/>
      <c r="T93" s="60"/>
      <c r="U93" s="60"/>
      <c r="V93" s="60"/>
      <c r="W93" s="60"/>
    </row>
    <row r="94" spans="1:23" ht="16.5" customHeight="1" x14ac:dyDescent="0.2">
      <c r="A94" s="808"/>
      <c r="B94" s="1233">
        <v>125</v>
      </c>
      <c r="C94" s="1178" t="s">
        <v>764</v>
      </c>
      <c r="D94" s="1234">
        <f>УПР_150БФСТ1</f>
        <v>26600</v>
      </c>
      <c r="E94" s="1179" t="s">
        <v>765</v>
      </c>
      <c r="F94" s="1235"/>
      <c r="G94" s="1236"/>
      <c r="H94" s="1236"/>
      <c r="I94" s="1236"/>
      <c r="J94" s="1236"/>
      <c r="K94" s="1236"/>
      <c r="L94" s="1237"/>
      <c r="M94" s="1238"/>
      <c r="N94" s="1239"/>
      <c r="O94" s="219"/>
      <c r="P94" s="401"/>
      <c r="Q94" s="2"/>
      <c r="R94" s="60"/>
      <c r="S94" s="60"/>
      <c r="T94" s="60"/>
      <c r="U94" s="60"/>
      <c r="V94" s="60"/>
      <c r="W94" s="60"/>
    </row>
    <row r="95" spans="1:23" ht="16.5" customHeight="1" x14ac:dyDescent="0.2">
      <c r="A95" s="808"/>
      <c r="B95" s="1029">
        <v>150</v>
      </c>
      <c r="C95" s="1167" t="s">
        <v>1135</v>
      </c>
      <c r="D95" s="1229">
        <f>УПР_150БФСТ1</f>
        <v>26600</v>
      </c>
      <c r="E95" s="426" t="s">
        <v>878</v>
      </c>
      <c r="F95" s="504"/>
      <c r="G95" s="241"/>
      <c r="H95" s="241"/>
      <c r="I95" s="241"/>
      <c r="J95" s="241"/>
      <c r="K95" s="241"/>
      <c r="L95" s="1208"/>
      <c r="M95" s="382"/>
      <c r="N95" s="1209"/>
      <c r="O95" s="219"/>
      <c r="P95" s="401"/>
      <c r="Q95" s="2"/>
      <c r="R95" s="60"/>
      <c r="S95" s="60"/>
      <c r="T95" s="60"/>
      <c r="U95" s="60"/>
      <c r="V95" s="60"/>
      <c r="W95" s="60"/>
    </row>
    <row r="96" spans="1:23" ht="16.5" customHeight="1" x14ac:dyDescent="0.2">
      <c r="A96" s="808"/>
      <c r="B96" s="1049">
        <v>200</v>
      </c>
      <c r="C96" s="1162" t="s">
        <v>240</v>
      </c>
      <c r="D96" s="1232">
        <f>УПР_200БФСТ1</f>
        <v>31500</v>
      </c>
      <c r="E96" s="389" t="s">
        <v>879</v>
      </c>
      <c r="F96" s="1161"/>
      <c r="G96" s="377"/>
      <c r="H96" s="377"/>
      <c r="I96" s="377"/>
      <c r="J96" s="377"/>
      <c r="K96" s="377"/>
      <c r="L96" s="1240"/>
      <c r="M96" s="1097"/>
      <c r="N96" s="1223"/>
      <c r="O96" s="219"/>
      <c r="P96" s="401"/>
      <c r="Q96" s="2"/>
      <c r="R96" s="602"/>
      <c r="S96" s="60"/>
      <c r="T96" s="60"/>
      <c r="U96" s="60"/>
      <c r="V96" s="60"/>
      <c r="W96" s="60"/>
    </row>
    <row r="97" spans="1:23" ht="16.5" customHeight="1" x14ac:dyDescent="0.2">
      <c r="A97" s="808"/>
      <c r="B97" s="1029">
        <v>250</v>
      </c>
      <c r="C97" s="1167" t="s">
        <v>1136</v>
      </c>
      <c r="D97" s="1177">
        <f>УПР_250БФСТ1</f>
        <v>61320</v>
      </c>
      <c r="E97" s="426" t="s">
        <v>880</v>
      </c>
      <c r="F97" s="504"/>
      <c r="G97" s="241"/>
      <c r="H97" s="241"/>
      <c r="I97" s="241"/>
      <c r="J97" s="241"/>
      <c r="K97" s="241"/>
      <c r="L97" s="1214"/>
      <c r="M97" s="382"/>
      <c r="N97" s="1157"/>
      <c r="O97" s="219"/>
      <c r="P97" s="401"/>
      <c r="Q97" s="2"/>
      <c r="R97" s="602"/>
      <c r="S97" s="60"/>
      <c r="T97" s="60"/>
      <c r="U97" s="60"/>
      <c r="V97" s="60"/>
      <c r="W97" s="60"/>
    </row>
    <row r="98" spans="1:23" ht="16.5" customHeight="1" x14ac:dyDescent="0.2">
      <c r="A98" s="808"/>
      <c r="B98" s="1049">
        <v>300</v>
      </c>
      <c r="C98" s="1162" t="s">
        <v>1137</v>
      </c>
      <c r="D98" s="1181">
        <f>УПР_300БФСТ1</f>
        <v>66500</v>
      </c>
      <c r="E98" s="1183" t="s">
        <v>881</v>
      </c>
      <c r="F98" s="1161"/>
      <c r="G98" s="377"/>
      <c r="H98" s="1161"/>
      <c r="I98" s="377"/>
      <c r="J98" s="377"/>
      <c r="K98" s="377"/>
      <c r="L98" s="1224"/>
      <c r="M98" s="1097"/>
      <c r="N98" s="1225"/>
      <c r="O98" s="219"/>
      <c r="P98" s="401"/>
      <c r="Q98" s="2"/>
      <c r="R98" s="33"/>
      <c r="S98" s="60"/>
      <c r="T98" s="60"/>
      <c r="U98" s="60"/>
      <c r="V98" s="60"/>
      <c r="W98" s="60"/>
    </row>
    <row r="99" spans="1:23" ht="16.5" customHeight="1" x14ac:dyDescent="0.2">
      <c r="A99" s="808"/>
      <c r="B99" s="1029">
        <v>350</v>
      </c>
      <c r="C99" s="1167" t="s">
        <v>239</v>
      </c>
      <c r="D99" s="1177">
        <f>УПР_350БФСТ1</f>
        <v>73500</v>
      </c>
      <c r="E99" s="540" t="s">
        <v>119</v>
      </c>
      <c r="F99" s="504"/>
      <c r="G99" s="241"/>
      <c r="H99" s="504"/>
      <c r="I99" s="241"/>
      <c r="J99" s="241"/>
      <c r="K99" s="241"/>
      <c r="L99" s="1214"/>
      <c r="M99" s="382"/>
      <c r="N99" s="1157"/>
      <c r="O99" s="219"/>
      <c r="P99" s="401"/>
      <c r="Q99" s="2"/>
      <c r="R99" s="33"/>
      <c r="S99" s="60"/>
      <c r="T99" s="60"/>
      <c r="U99" s="60"/>
      <c r="V99" s="60"/>
      <c r="W99" s="60"/>
    </row>
    <row r="100" spans="1:23" ht="16.5" customHeight="1" x14ac:dyDescent="0.2">
      <c r="A100" s="808"/>
      <c r="B100" s="1049">
        <v>400</v>
      </c>
      <c r="C100" s="1162" t="s">
        <v>238</v>
      </c>
      <c r="D100" s="1181">
        <f>УПР_400БФСТ1</f>
        <v>78820</v>
      </c>
      <c r="E100" s="1183" t="s">
        <v>120</v>
      </c>
      <c r="F100" s="1174"/>
      <c r="G100" s="230"/>
      <c r="H100" s="1174"/>
      <c r="I100" s="219"/>
      <c r="J100" s="219"/>
      <c r="K100" s="219"/>
      <c r="L100" s="254"/>
      <c r="M100" s="1097"/>
      <c r="N100" s="1225"/>
      <c r="O100" s="219"/>
      <c r="P100" s="401"/>
      <c r="Q100" s="2"/>
      <c r="R100" s="60"/>
      <c r="S100" s="60"/>
      <c r="T100" s="60"/>
      <c r="U100" s="60"/>
      <c r="V100" s="60"/>
      <c r="W100" s="60"/>
    </row>
    <row r="101" spans="1:23" ht="16.5" customHeight="1" x14ac:dyDescent="0.2">
      <c r="A101" s="808"/>
      <c r="B101" s="1029">
        <v>500</v>
      </c>
      <c r="C101" s="1167" t="s">
        <v>237</v>
      </c>
      <c r="D101" s="1177">
        <f>УПР_500БФСТ1</f>
        <v>122500</v>
      </c>
      <c r="E101" s="540" t="s">
        <v>121</v>
      </c>
      <c r="F101" s="523"/>
      <c r="G101" s="383"/>
      <c r="H101" s="523"/>
      <c r="I101" s="382"/>
      <c r="J101" s="382"/>
      <c r="K101" s="382"/>
      <c r="L101" s="1214"/>
      <c r="M101" s="382"/>
      <c r="N101" s="1157"/>
      <c r="O101" s="219"/>
      <c r="P101" s="401"/>
      <c r="Q101" s="2"/>
      <c r="R101" s="602"/>
      <c r="S101" s="60"/>
      <c r="T101" s="60"/>
      <c r="U101" s="60"/>
      <c r="V101" s="60"/>
      <c r="W101" s="60"/>
    </row>
    <row r="102" spans="1:23" ht="16.5" customHeight="1" x14ac:dyDescent="0.2">
      <c r="A102" s="808"/>
      <c r="B102" s="1049">
        <v>600</v>
      </c>
      <c r="C102" s="1162" t="s">
        <v>1138</v>
      </c>
      <c r="D102" s="1181">
        <f>УПР_600БФСТ1</f>
        <v>157500</v>
      </c>
      <c r="E102" s="1183" t="s">
        <v>122</v>
      </c>
      <c r="F102" s="1174"/>
      <c r="G102" s="230"/>
      <c r="H102" s="1174"/>
      <c r="I102" s="219"/>
      <c r="J102" s="219"/>
      <c r="K102" s="1207"/>
      <c r="L102" s="254"/>
      <c r="M102" s="1097"/>
      <c r="N102" s="1225"/>
      <c r="O102" s="219"/>
      <c r="P102" s="401"/>
      <c r="Q102" s="2"/>
      <c r="R102" s="602"/>
      <c r="S102" s="60"/>
      <c r="T102" s="60"/>
      <c r="U102" s="60"/>
      <c r="V102" s="60"/>
      <c r="W102" s="60"/>
    </row>
    <row r="103" spans="1:23" ht="16.5" customHeight="1" x14ac:dyDescent="0.2">
      <c r="A103" s="808"/>
      <c r="B103" s="1029">
        <v>700</v>
      </c>
      <c r="C103" s="1167" t="s">
        <v>236</v>
      </c>
      <c r="D103" s="1177">
        <f>УПР_700БФСТ1</f>
        <v>175000</v>
      </c>
      <c r="E103" s="426" t="s">
        <v>988</v>
      </c>
      <c r="F103" s="523"/>
      <c r="G103" s="383"/>
      <c r="H103" s="383"/>
      <c r="I103" s="382"/>
      <c r="J103" s="382"/>
      <c r="K103" s="1201"/>
      <c r="L103" s="1214"/>
      <c r="M103" s="382"/>
      <c r="N103" s="1157"/>
      <c r="O103" s="219"/>
      <c r="P103" s="401"/>
      <c r="Q103" s="2"/>
      <c r="R103" s="33"/>
      <c r="S103" s="60"/>
      <c r="T103" s="60"/>
      <c r="U103" s="60"/>
      <c r="V103" s="60"/>
      <c r="W103" s="60"/>
    </row>
    <row r="104" spans="1:23" ht="16.5" customHeight="1" x14ac:dyDescent="0.2">
      <c r="A104" s="808"/>
      <c r="B104" s="1049">
        <v>800</v>
      </c>
      <c r="C104" s="1162" t="s">
        <v>235</v>
      </c>
      <c r="D104" s="1181">
        <f>УПР_800БФСТ1</f>
        <v>227500</v>
      </c>
      <c r="E104" s="389" t="s">
        <v>989</v>
      </c>
      <c r="F104" s="1174"/>
      <c r="G104" s="1173"/>
      <c r="H104" s="230"/>
      <c r="I104" s="219"/>
      <c r="J104" s="219"/>
      <c r="K104" s="1207"/>
      <c r="L104" s="1224"/>
      <c r="M104" s="1097"/>
      <c r="N104" s="1225"/>
      <c r="O104" s="219"/>
      <c r="P104" s="401"/>
      <c r="Q104" s="2"/>
      <c r="R104" s="60"/>
      <c r="S104" s="60"/>
      <c r="T104" s="60"/>
      <c r="U104" s="60"/>
      <c r="V104" s="60"/>
      <c r="W104" s="60"/>
    </row>
    <row r="105" spans="1:23" ht="16.5" customHeight="1" x14ac:dyDescent="0.2">
      <c r="A105" s="808"/>
      <c r="B105" s="1029">
        <v>900</v>
      </c>
      <c r="C105" s="1167" t="s">
        <v>1139</v>
      </c>
      <c r="D105" s="1177">
        <f>УПР_900БФСТ1</f>
        <v>315000</v>
      </c>
      <c r="E105" s="426" t="s">
        <v>990</v>
      </c>
      <c r="F105" s="383"/>
      <c r="G105" s="383"/>
      <c r="H105" s="383"/>
      <c r="I105" s="382"/>
      <c r="J105" s="382"/>
      <c r="K105" s="1201"/>
      <c r="L105" s="1214"/>
      <c r="M105" s="382"/>
      <c r="N105" s="1157"/>
      <c r="O105" s="219"/>
      <c r="P105" s="401"/>
      <c r="Q105" s="2"/>
      <c r="R105" s="33"/>
      <c r="S105" s="60"/>
      <c r="T105" s="60"/>
      <c r="U105" s="60"/>
      <c r="V105" s="60"/>
      <c r="W105" s="60"/>
    </row>
    <row r="106" spans="1:23" ht="16.5" customHeight="1" x14ac:dyDescent="0.2">
      <c r="A106" s="808"/>
      <c r="B106" s="1049">
        <v>1000</v>
      </c>
      <c r="C106" s="1162" t="s">
        <v>1140</v>
      </c>
      <c r="D106" s="1181">
        <f>УПР_1000БФСТ1</f>
        <v>420000</v>
      </c>
      <c r="E106" s="389" t="s">
        <v>991</v>
      </c>
      <c r="F106" s="230"/>
      <c r="G106" s="230"/>
      <c r="H106" s="230"/>
      <c r="I106" s="219"/>
      <c r="J106" s="219"/>
      <c r="K106" s="1207"/>
      <c r="L106" s="1224"/>
      <c r="M106" s="1097"/>
      <c r="N106" s="1225"/>
      <c r="O106" s="219"/>
      <c r="P106" s="401"/>
      <c r="Q106" s="2"/>
      <c r="R106" s="33"/>
      <c r="S106" s="60"/>
      <c r="T106" s="60"/>
      <c r="U106" s="60"/>
      <c r="V106" s="60"/>
      <c r="W106" s="60"/>
    </row>
    <row r="107" spans="1:23" ht="16.5" customHeight="1" x14ac:dyDescent="0.2">
      <c r="A107" s="808"/>
      <c r="B107" s="1029">
        <v>1200</v>
      </c>
      <c r="C107" s="1167" t="s">
        <v>1141</v>
      </c>
      <c r="D107" s="1483" t="str">
        <f>УПР_1200БФСТ1</f>
        <v>по запросу</v>
      </c>
      <c r="E107" s="426" t="s">
        <v>992</v>
      </c>
      <c r="F107" s="383"/>
      <c r="G107" s="523"/>
      <c r="H107" s="383"/>
      <c r="I107" s="382"/>
      <c r="J107" s="382"/>
      <c r="K107" s="1201"/>
      <c r="L107" s="1230"/>
      <c r="M107" s="382"/>
      <c r="N107" s="1188"/>
      <c r="O107" s="219"/>
      <c r="P107" s="401"/>
      <c r="Q107" s="2"/>
      <c r="R107" s="33"/>
      <c r="S107" s="60"/>
      <c r="T107" s="60"/>
      <c r="U107" s="60"/>
      <c r="V107" s="60"/>
      <c r="W107" s="60"/>
    </row>
    <row r="108" spans="1:23" ht="16.5" customHeight="1" x14ac:dyDescent="0.2">
      <c r="A108" s="808"/>
      <c r="B108" s="1049">
        <v>1400</v>
      </c>
      <c r="C108" s="1162" t="s">
        <v>1261</v>
      </c>
      <c r="D108" s="1484" t="str">
        <f>УПР_1400БФСТ1</f>
        <v>по запросу</v>
      </c>
      <c r="E108" s="389" t="s">
        <v>993</v>
      </c>
      <c r="F108" s="230"/>
      <c r="G108" s="230"/>
      <c r="H108" s="230"/>
      <c r="I108" s="219"/>
      <c r="J108" s="219"/>
      <c r="K108" s="219"/>
      <c r="L108" s="1241"/>
      <c r="M108" s="219"/>
      <c r="N108" s="1227"/>
      <c r="O108" s="219"/>
      <c r="P108" s="401"/>
      <c r="Q108" s="2"/>
      <c r="R108" s="33"/>
      <c r="S108" s="60"/>
      <c r="T108" s="60"/>
      <c r="U108" s="60"/>
      <c r="V108" s="60"/>
      <c r="W108" s="60"/>
    </row>
    <row r="109" spans="1:23" ht="16.5" customHeight="1" thickBot="1" x14ac:dyDescent="0.25">
      <c r="A109" s="808"/>
      <c r="B109" s="1191">
        <v>1600</v>
      </c>
      <c r="C109" s="1182" t="s">
        <v>758</v>
      </c>
      <c r="D109" s="1482" t="s">
        <v>1098</v>
      </c>
      <c r="E109" s="1184" t="s">
        <v>759</v>
      </c>
      <c r="F109" s="990"/>
      <c r="G109" s="990"/>
      <c r="H109" s="990"/>
      <c r="I109" s="991"/>
      <c r="J109" s="991"/>
      <c r="K109" s="991"/>
      <c r="L109" s="1231"/>
      <c r="M109" s="991"/>
      <c r="N109" s="1203"/>
      <c r="O109" s="219"/>
      <c r="P109" s="401"/>
      <c r="Q109" s="2"/>
      <c r="R109" s="60"/>
      <c r="S109" s="60"/>
      <c r="T109" s="60"/>
      <c r="U109" s="60"/>
      <c r="V109" s="60"/>
      <c r="W109" s="60"/>
    </row>
    <row r="110" spans="1:23" ht="13.5" customHeight="1" x14ac:dyDescent="0.2">
      <c r="A110" s="1"/>
      <c r="B110" s="388"/>
      <c r="C110" s="393"/>
      <c r="D110" s="389"/>
      <c r="E110" s="390"/>
      <c r="F110" s="230"/>
      <c r="G110" s="230"/>
      <c r="H110" s="230"/>
      <c r="I110" s="219"/>
      <c r="J110" s="219"/>
      <c r="K110" s="219"/>
      <c r="L110" s="391"/>
      <c r="M110" s="219"/>
      <c r="N110" s="391"/>
      <c r="O110" s="219"/>
      <c r="P110" s="401"/>
      <c r="Q110" s="2"/>
      <c r="R110" s="602"/>
      <c r="S110" s="60"/>
      <c r="T110" s="60"/>
      <c r="U110" s="60"/>
      <c r="V110" s="60"/>
      <c r="W110" s="60"/>
    </row>
    <row r="111" spans="1:23" ht="13.5" customHeight="1" x14ac:dyDescent="0.2">
      <c r="A111" s="1"/>
      <c r="B111" s="388"/>
      <c r="C111" s="274"/>
      <c r="D111" s="387"/>
      <c r="E111" s="384"/>
      <c r="F111" s="385"/>
      <c r="G111" s="385"/>
      <c r="H111" s="385"/>
      <c r="I111" s="386"/>
      <c r="J111" s="386"/>
      <c r="K111" s="386"/>
      <c r="L111" s="219"/>
      <c r="M111" s="219"/>
      <c r="N111" s="219"/>
      <c r="O111" s="219"/>
      <c r="P111" s="401"/>
      <c r="Q111" s="2"/>
      <c r="R111" s="602"/>
      <c r="S111" s="60"/>
      <c r="T111" s="60"/>
      <c r="U111" s="60"/>
      <c r="V111" s="60"/>
      <c r="W111" s="60"/>
    </row>
    <row r="112" spans="1:23" ht="15" customHeight="1" x14ac:dyDescent="0.25">
      <c r="A112" s="1"/>
      <c r="B112" s="388"/>
      <c r="C112" s="274"/>
      <c r="D112" s="478" t="s">
        <v>1071</v>
      </c>
      <c r="E112" s="384"/>
      <c r="F112" s="385"/>
      <c r="G112" s="385"/>
      <c r="H112" s="385"/>
      <c r="I112" s="386"/>
      <c r="J112" s="386"/>
      <c r="K112" s="386"/>
      <c r="L112" s="219"/>
      <c r="M112" s="219"/>
      <c r="N112" s="219"/>
      <c r="O112" s="219"/>
      <c r="P112" s="401"/>
      <c r="Q112" s="2"/>
      <c r="R112" s="33"/>
      <c r="S112" s="60"/>
      <c r="T112" s="60"/>
      <c r="U112" s="60"/>
      <c r="V112" s="60"/>
      <c r="W112" s="60"/>
    </row>
    <row r="113" spans="1:23" ht="13.5" customHeight="1" thickBot="1" x14ac:dyDescent="0.25">
      <c r="A113" s="1"/>
      <c r="B113" s="388"/>
      <c r="C113" s="274"/>
      <c r="D113" s="642"/>
      <c r="E113" s="390"/>
      <c r="F113" s="230"/>
      <c r="G113" s="230"/>
      <c r="H113" s="230"/>
      <c r="I113" s="219"/>
      <c r="J113" s="219"/>
      <c r="K113" s="219"/>
      <c r="L113" s="219"/>
      <c r="M113" s="219"/>
      <c r="N113" s="219"/>
      <c r="O113" s="219"/>
      <c r="P113" s="401"/>
      <c r="Q113" s="2"/>
      <c r="R113" s="33"/>
      <c r="S113" s="60"/>
      <c r="T113" s="60"/>
      <c r="U113" s="60"/>
      <c r="V113" s="60"/>
      <c r="W113" s="60"/>
    </row>
    <row r="114" spans="1:23" ht="16.5" customHeight="1" x14ac:dyDescent="0.2">
      <c r="A114" s="808"/>
      <c r="B114" s="1059" t="s">
        <v>1313</v>
      </c>
      <c r="C114" s="1070" t="s">
        <v>700</v>
      </c>
      <c r="D114" s="1063"/>
      <c r="E114" s="908" t="s">
        <v>1066</v>
      </c>
      <c r="F114" s="1074"/>
      <c r="G114" s="977"/>
      <c r="H114" s="1062"/>
      <c r="I114" s="1062"/>
      <c r="J114" s="1062"/>
      <c r="K114" s="1063" t="s">
        <v>697</v>
      </c>
      <c r="L114" s="1063"/>
      <c r="M114" s="1064"/>
      <c r="N114" s="1065"/>
      <c r="O114" s="219"/>
      <c r="P114" s="401"/>
      <c r="Q114" s="2"/>
      <c r="R114" s="60"/>
      <c r="S114" s="60"/>
      <c r="T114" s="60"/>
      <c r="U114" s="60"/>
      <c r="V114" s="60"/>
      <c r="W114" s="60"/>
    </row>
    <row r="115" spans="1:23" ht="16.5" customHeight="1" x14ac:dyDescent="0.2">
      <c r="A115" s="808"/>
      <c r="B115" s="1029"/>
      <c r="C115" s="510"/>
      <c r="D115" s="426"/>
      <c r="E115" s="426" t="s">
        <v>488</v>
      </c>
      <c r="F115" s="426"/>
      <c r="G115" s="426"/>
      <c r="H115" s="426"/>
      <c r="I115" s="426"/>
      <c r="J115" s="426"/>
      <c r="K115" s="426"/>
      <c r="L115" s="1492"/>
      <c r="M115" s="382"/>
      <c r="N115" s="865"/>
      <c r="O115" s="219"/>
      <c r="P115" s="401"/>
      <c r="Q115" s="2"/>
      <c r="R115" s="602"/>
      <c r="S115" s="60"/>
      <c r="T115" s="60"/>
      <c r="U115" s="60"/>
      <c r="V115" s="60"/>
      <c r="W115" s="60"/>
    </row>
    <row r="116" spans="1:23" ht="16.5" customHeight="1" x14ac:dyDescent="0.2">
      <c r="A116" s="808"/>
      <c r="B116" s="1028" t="s">
        <v>1065</v>
      </c>
      <c r="C116" s="1032" t="s">
        <v>147</v>
      </c>
      <c r="D116" s="725">
        <f>КМЧ800_1</f>
        <v>4375</v>
      </c>
      <c r="E116" s="548" t="s">
        <v>275</v>
      </c>
      <c r="F116" s="543"/>
      <c r="G116" s="544"/>
      <c r="H116" s="545"/>
      <c r="I116" s="545"/>
      <c r="J116" s="545"/>
      <c r="K116" s="545"/>
      <c r="L116" s="546"/>
      <c r="M116" s="547"/>
      <c r="N116" s="1031"/>
      <c r="O116" s="219"/>
      <c r="P116" s="401"/>
      <c r="Q116" s="2"/>
      <c r="R116" s="602"/>
      <c r="S116" s="60"/>
      <c r="T116" s="60"/>
      <c r="U116" s="60"/>
      <c r="V116" s="60"/>
      <c r="W116" s="60"/>
    </row>
    <row r="117" spans="1:23" ht="16.5" customHeight="1" thickBot="1" x14ac:dyDescent="0.25">
      <c r="A117" s="808"/>
      <c r="B117" s="1033">
        <v>2000</v>
      </c>
      <c r="C117" s="1034" t="s">
        <v>536</v>
      </c>
      <c r="D117" s="1035" t="str">
        <f>ПЭП34</f>
        <v>10500 /луч</v>
      </c>
      <c r="E117" s="1036" t="s">
        <v>994</v>
      </c>
      <c r="F117" s="1037"/>
      <c r="G117" s="1038"/>
      <c r="H117" s="1039"/>
      <c r="I117" s="1040"/>
      <c r="J117" s="1040"/>
      <c r="K117" s="1040"/>
      <c r="L117" s="1041"/>
      <c r="M117" s="1042"/>
      <c r="N117" s="1043"/>
      <c r="O117" s="219"/>
      <c r="P117" s="401"/>
      <c r="Q117" s="2"/>
      <c r="R117" s="33"/>
      <c r="S117" s="60"/>
      <c r="T117" s="60"/>
      <c r="U117" s="60"/>
      <c r="V117" s="60"/>
      <c r="W117" s="60"/>
    </row>
    <row r="118" spans="1:23" ht="13.5" customHeight="1" x14ac:dyDescent="0.2">
      <c r="A118" s="1"/>
      <c r="B118" s="388"/>
      <c r="C118" s="393"/>
      <c r="D118" s="389"/>
      <c r="E118" s="389"/>
      <c r="F118" s="430"/>
      <c r="G118" s="430"/>
      <c r="H118" s="430"/>
      <c r="I118" s="220"/>
      <c r="J118" s="220"/>
      <c r="K118" s="220"/>
      <c r="L118" s="431"/>
      <c r="M118" s="219"/>
      <c r="N118" s="219"/>
      <c r="O118" s="219"/>
      <c r="P118" s="401"/>
      <c r="Q118" s="2"/>
      <c r="R118" s="33"/>
      <c r="S118" s="60"/>
      <c r="T118" s="60"/>
      <c r="U118" s="60"/>
      <c r="V118" s="60"/>
      <c r="W118" s="60"/>
    </row>
    <row r="119" spans="1:23" ht="13.5" customHeight="1" x14ac:dyDescent="0.2">
      <c r="A119" s="1"/>
      <c r="B119" s="388"/>
      <c r="C119" s="393"/>
      <c r="D119" s="389"/>
      <c r="E119" s="389"/>
      <c r="F119" s="430"/>
      <c r="G119" s="430"/>
      <c r="H119" s="430"/>
      <c r="I119" s="220"/>
      <c r="J119" s="220"/>
      <c r="K119" s="220"/>
      <c r="L119" s="431"/>
      <c r="M119" s="219"/>
      <c r="N119" s="219"/>
      <c r="O119" s="219"/>
      <c r="P119" s="401"/>
      <c r="Q119" s="2"/>
      <c r="R119" s="33"/>
      <c r="S119" s="60"/>
      <c r="T119" s="60"/>
      <c r="U119" s="60"/>
      <c r="V119" s="60"/>
      <c r="W119" s="60"/>
    </row>
    <row r="120" spans="1:23" ht="13.5" customHeight="1" x14ac:dyDescent="0.2">
      <c r="A120" s="1"/>
      <c r="B120" s="388"/>
      <c r="C120" s="393"/>
      <c r="D120" s="389"/>
      <c r="E120" s="389"/>
      <c r="F120" s="430"/>
      <c r="G120" s="430"/>
      <c r="H120" s="430"/>
      <c r="I120" s="220"/>
      <c r="J120" s="220"/>
      <c r="K120" s="220"/>
      <c r="L120" s="431"/>
      <c r="M120" s="219"/>
      <c r="N120" s="219"/>
      <c r="O120" s="219"/>
      <c r="P120" s="401"/>
      <c r="Q120" s="2"/>
      <c r="R120" s="60"/>
      <c r="S120" s="60"/>
      <c r="T120" s="60"/>
      <c r="U120" s="60"/>
      <c r="V120" s="60"/>
      <c r="W120" s="60"/>
    </row>
    <row r="121" spans="1:23" ht="13.5" customHeight="1" thickBot="1" x14ac:dyDescent="0.25">
      <c r="A121" s="1"/>
      <c r="B121" s="937"/>
      <c r="C121" s="999"/>
      <c r="D121" s="935"/>
      <c r="E121" s="935"/>
      <c r="F121" s="1044"/>
      <c r="G121" s="1044"/>
      <c r="H121" s="1044"/>
      <c r="I121" s="1045"/>
      <c r="J121" s="1045"/>
      <c r="K121" s="1045"/>
      <c r="L121" s="1046"/>
      <c r="M121" s="890"/>
      <c r="N121" s="890"/>
      <c r="O121" s="219"/>
      <c r="P121" s="401"/>
      <c r="Q121" s="2"/>
      <c r="R121" s="602"/>
      <c r="S121" s="60"/>
      <c r="T121" s="60"/>
      <c r="U121" s="60"/>
      <c r="V121" s="60"/>
      <c r="W121" s="60"/>
    </row>
    <row r="122" spans="1:23" ht="15" customHeight="1" x14ac:dyDescent="0.2">
      <c r="A122" s="808"/>
      <c r="B122" s="1080"/>
      <c r="C122" s="1081"/>
      <c r="D122" s="1082"/>
      <c r="E122" s="980"/>
      <c r="F122" s="1071"/>
      <c r="G122" s="1071"/>
      <c r="H122" s="1071"/>
      <c r="I122" s="1064"/>
      <c r="J122" s="1064"/>
      <c r="K122" s="1064"/>
      <c r="L122" s="1064"/>
      <c r="M122" s="1064"/>
      <c r="N122" s="1065"/>
      <c r="O122" s="219"/>
      <c r="P122" s="401"/>
      <c r="Q122" s="2"/>
      <c r="R122" s="602"/>
      <c r="S122" s="60"/>
      <c r="T122" s="60"/>
      <c r="U122" s="60"/>
      <c r="V122" s="60"/>
      <c r="W122" s="60"/>
    </row>
    <row r="123" spans="1:23" ht="30" customHeight="1" thickBot="1" x14ac:dyDescent="0.25">
      <c r="A123" s="808"/>
      <c r="B123" s="1077" t="s">
        <v>635</v>
      </c>
      <c r="C123" s="925"/>
      <c r="D123" s="1078"/>
      <c r="E123" s="1078"/>
      <c r="F123" s="1078"/>
      <c r="G123" s="1078"/>
      <c r="H123" s="1078"/>
      <c r="I123" s="1078"/>
      <c r="J123" s="1078"/>
      <c r="K123" s="1078"/>
      <c r="L123" s="1078"/>
      <c r="M123" s="1078"/>
      <c r="N123" s="1079"/>
      <c r="O123" s="219"/>
      <c r="P123" s="401"/>
      <c r="Q123" s="2"/>
      <c r="R123" s="602"/>
      <c r="S123" s="60"/>
      <c r="T123" s="60"/>
      <c r="U123" s="60"/>
      <c r="V123" s="60"/>
      <c r="W123" s="60"/>
    </row>
    <row r="124" spans="1:23" ht="13.5" customHeight="1" x14ac:dyDescent="0.2">
      <c r="A124" s="808"/>
      <c r="B124" s="2"/>
      <c r="C124" s="370"/>
      <c r="D124" s="376" t="s">
        <v>154</v>
      </c>
      <c r="E124" s="376"/>
      <c r="F124" s="377"/>
      <c r="G124" s="377"/>
      <c r="H124" s="377"/>
      <c r="I124" s="377"/>
      <c r="J124" s="377"/>
      <c r="K124" s="377"/>
      <c r="L124" s="377"/>
      <c r="M124" s="377"/>
      <c r="N124" s="1011"/>
      <c r="O124" s="219"/>
      <c r="P124" s="401"/>
      <c r="Q124" s="2"/>
      <c r="R124" s="602"/>
      <c r="S124" s="60"/>
      <c r="T124" s="60"/>
      <c r="U124" s="60"/>
      <c r="V124" s="60"/>
      <c r="W124" s="60"/>
    </row>
    <row r="125" spans="1:23" ht="13.5" customHeight="1" x14ac:dyDescent="0.2">
      <c r="A125" s="808"/>
      <c r="B125" s="2"/>
      <c r="C125" s="370"/>
      <c r="D125" s="376" t="s">
        <v>490</v>
      </c>
      <c r="E125" s="376"/>
      <c r="F125" s="377"/>
      <c r="G125" s="377"/>
      <c r="H125" s="377"/>
      <c r="I125" s="377"/>
      <c r="J125" s="377"/>
      <c r="K125" s="377"/>
      <c r="L125" s="377"/>
      <c r="M125" s="377"/>
      <c r="N125" s="1011"/>
      <c r="O125" s="219"/>
      <c r="P125" s="401"/>
      <c r="Q125" s="2"/>
      <c r="R125" s="602"/>
      <c r="S125" s="60"/>
      <c r="T125" s="60"/>
      <c r="U125" s="60"/>
      <c r="V125" s="60"/>
      <c r="W125" s="60"/>
    </row>
    <row r="126" spans="1:23" ht="13.5" customHeight="1" x14ac:dyDescent="0.2">
      <c r="A126" s="808"/>
      <c r="B126" s="2"/>
      <c r="C126" s="370"/>
      <c r="D126" s="378" t="s">
        <v>491</v>
      </c>
      <c r="E126" s="378"/>
      <c r="F126" s="377"/>
      <c r="G126" s="377"/>
      <c r="H126" s="377"/>
      <c r="I126" s="377"/>
      <c r="J126" s="377"/>
      <c r="K126" s="377"/>
      <c r="L126" s="377"/>
      <c r="M126" s="377"/>
      <c r="N126" s="1011"/>
      <c r="O126" s="219"/>
      <c r="P126" s="401"/>
      <c r="Q126" s="2"/>
      <c r="R126" s="33"/>
      <c r="S126" s="60"/>
      <c r="T126" s="60"/>
      <c r="U126" s="60"/>
      <c r="V126" s="60"/>
      <c r="W126" s="60"/>
    </row>
    <row r="127" spans="1:23" ht="13.5" customHeight="1" x14ac:dyDescent="0.2">
      <c r="A127" s="808"/>
      <c r="B127" s="2"/>
      <c r="C127" s="370"/>
      <c r="D127" s="378" t="s">
        <v>492</v>
      </c>
      <c r="E127" s="378"/>
      <c r="F127" s="377"/>
      <c r="G127" s="377"/>
      <c r="H127" s="377"/>
      <c r="I127" s="377"/>
      <c r="J127" s="377"/>
      <c r="K127" s="377"/>
      <c r="L127" s="377"/>
      <c r="M127" s="377"/>
      <c r="N127" s="1011"/>
      <c r="O127" s="219"/>
      <c r="P127" s="401"/>
      <c r="Q127" s="2"/>
      <c r="R127" s="33"/>
      <c r="S127" s="60"/>
      <c r="T127" s="60"/>
      <c r="U127" s="60"/>
      <c r="V127" s="60"/>
      <c r="W127" s="60"/>
    </row>
    <row r="128" spans="1:23" ht="13.5" customHeight="1" x14ac:dyDescent="0.2">
      <c r="A128" s="808"/>
      <c r="B128" s="2"/>
      <c r="C128" s="370"/>
      <c r="D128" s="378" t="s">
        <v>494</v>
      </c>
      <c r="E128" s="378"/>
      <c r="F128" s="377"/>
      <c r="G128" s="377"/>
      <c r="H128" s="377"/>
      <c r="I128" s="377"/>
      <c r="J128" s="377"/>
      <c r="K128" s="377"/>
      <c r="L128" s="377"/>
      <c r="M128" s="377"/>
      <c r="N128" s="1011"/>
      <c r="O128" s="219"/>
      <c r="P128" s="401"/>
      <c r="Q128" s="2"/>
      <c r="R128" s="60"/>
      <c r="S128" s="60"/>
      <c r="T128" s="60"/>
      <c r="U128" s="60"/>
      <c r="V128" s="60"/>
      <c r="W128" s="60"/>
    </row>
    <row r="129" spans="1:23" ht="13.5" customHeight="1" x14ac:dyDescent="0.2">
      <c r="A129" s="808"/>
      <c r="B129" s="2"/>
      <c r="C129" s="370"/>
      <c r="D129" s="378" t="s">
        <v>493</v>
      </c>
      <c r="E129" s="378"/>
      <c r="F129" s="377"/>
      <c r="G129" s="377"/>
      <c r="H129" s="377"/>
      <c r="I129" s="377"/>
      <c r="J129" s="377"/>
      <c r="K129" s="377"/>
      <c r="L129" s="377"/>
      <c r="M129" s="377"/>
      <c r="N129" s="1011"/>
      <c r="O129" s="219"/>
      <c r="P129" s="401"/>
      <c r="Q129" s="2"/>
      <c r="R129" s="33"/>
      <c r="S129" s="60"/>
      <c r="T129" s="60"/>
      <c r="U129" s="60"/>
      <c r="V129" s="60"/>
      <c r="W129" s="60"/>
    </row>
    <row r="130" spans="1:23" ht="13.5" customHeight="1" x14ac:dyDescent="0.2">
      <c r="A130" s="808"/>
      <c r="B130" s="2"/>
      <c r="C130" s="370"/>
      <c r="D130" s="376" t="s">
        <v>495</v>
      </c>
      <c r="E130" s="378"/>
      <c r="F130" s="377"/>
      <c r="G130" s="377"/>
      <c r="H130" s="377"/>
      <c r="I130" s="377"/>
      <c r="J130" s="377"/>
      <c r="K130" s="377"/>
      <c r="L130" s="377"/>
      <c r="M130" s="377"/>
      <c r="N130" s="1011"/>
      <c r="O130" s="219"/>
      <c r="P130" s="401"/>
      <c r="Q130" s="2"/>
      <c r="R130" s="602"/>
      <c r="S130" s="60"/>
      <c r="T130" s="60"/>
      <c r="U130" s="60"/>
      <c r="V130" s="60"/>
      <c r="W130" s="60"/>
    </row>
    <row r="131" spans="1:23" ht="13.5" customHeight="1" x14ac:dyDescent="0.2">
      <c r="A131" s="808"/>
      <c r="B131" s="2"/>
      <c r="C131" s="370"/>
      <c r="D131" s="376" t="s">
        <v>679</v>
      </c>
      <c r="E131" s="378"/>
      <c r="F131" s="377"/>
      <c r="G131" s="377"/>
      <c r="H131" s="377"/>
      <c r="I131" s="377"/>
      <c r="J131" s="377"/>
      <c r="K131" s="377"/>
      <c r="L131" s="377"/>
      <c r="M131" s="377"/>
      <c r="N131" s="1011"/>
      <c r="O131" s="219"/>
      <c r="P131" s="401"/>
      <c r="Q131" s="2"/>
      <c r="R131" s="33"/>
      <c r="S131" s="60"/>
      <c r="T131" s="60"/>
      <c r="U131" s="60"/>
      <c r="V131" s="60"/>
      <c r="W131" s="60"/>
    </row>
    <row r="132" spans="1:23" ht="13.5" customHeight="1" thickBot="1" x14ac:dyDescent="0.25">
      <c r="A132" s="808"/>
      <c r="B132" s="1015"/>
      <c r="C132" s="938"/>
      <c r="D132" s="1012" t="s">
        <v>680</v>
      </c>
      <c r="E132" s="1012"/>
      <c r="F132" s="1013"/>
      <c r="G132" s="1013"/>
      <c r="H132" s="1013"/>
      <c r="I132" s="1013"/>
      <c r="J132" s="1013"/>
      <c r="K132" s="1013"/>
      <c r="L132" s="1013"/>
      <c r="M132" s="1013"/>
      <c r="N132" s="1014"/>
      <c r="O132" s="219"/>
      <c r="P132" s="401"/>
      <c r="Q132" s="2"/>
      <c r="R132" s="33"/>
      <c r="S132" s="60"/>
      <c r="T132" s="60"/>
      <c r="U132" s="60"/>
      <c r="V132" s="60"/>
      <c r="W132" s="60"/>
    </row>
    <row r="133" spans="1:23" ht="15" customHeight="1" x14ac:dyDescent="0.2">
      <c r="A133" s="1"/>
      <c r="B133" s="2"/>
      <c r="C133" s="370"/>
      <c r="D133" s="397"/>
      <c r="E133" s="398"/>
      <c r="F133" s="377"/>
      <c r="G133" s="377"/>
      <c r="H133" s="377"/>
      <c r="I133" s="377"/>
      <c r="J133" s="377"/>
      <c r="K133" s="377"/>
      <c r="L133" s="377"/>
      <c r="M133" s="377"/>
      <c r="N133" s="377"/>
      <c r="O133" s="219"/>
      <c r="P133" s="401"/>
      <c r="Q133" s="2"/>
      <c r="R133" s="60"/>
      <c r="S133" s="60"/>
      <c r="T133" s="60"/>
      <c r="U133" s="60"/>
      <c r="V133" s="60"/>
      <c r="W133" s="60"/>
    </row>
    <row r="134" spans="1:23" ht="15" customHeight="1" x14ac:dyDescent="0.2">
      <c r="A134" s="1"/>
      <c r="B134" s="1"/>
      <c r="C134" s="230"/>
      <c r="D134" s="230"/>
      <c r="E134" s="2"/>
      <c r="F134" s="230"/>
      <c r="G134" s="230"/>
      <c r="H134" s="230"/>
      <c r="I134" s="219"/>
      <c r="J134" s="219"/>
      <c r="K134" s="219"/>
      <c r="L134" s="219"/>
      <c r="M134" s="219"/>
      <c r="N134" s="393"/>
      <c r="O134" s="219"/>
      <c r="P134" s="401"/>
      <c r="Q134" s="2"/>
      <c r="R134" s="33"/>
      <c r="S134" s="60"/>
      <c r="T134" s="60"/>
      <c r="U134" s="60"/>
      <c r="V134" s="60"/>
      <c r="W134" s="60"/>
    </row>
    <row r="135" spans="1:23" ht="15" customHeight="1" x14ac:dyDescent="0.25">
      <c r="A135" s="1"/>
      <c r="B135" s="1"/>
      <c r="C135" s="230"/>
      <c r="D135" s="478"/>
      <c r="E135" s="480"/>
      <c r="F135" s="385"/>
      <c r="G135" s="385"/>
      <c r="H135" s="385"/>
      <c r="I135" s="386"/>
      <c r="J135" s="386"/>
      <c r="K135" s="386"/>
      <c r="L135" s="219"/>
      <c r="M135" s="219"/>
      <c r="N135" s="219"/>
      <c r="O135" s="219"/>
      <c r="P135" s="401"/>
      <c r="Q135" s="2"/>
      <c r="R135" s="33"/>
      <c r="S135" s="60"/>
      <c r="T135" s="60"/>
      <c r="U135" s="60"/>
      <c r="V135" s="60"/>
      <c r="W135" s="60"/>
    </row>
    <row r="136" spans="1:23" ht="15" customHeight="1" x14ac:dyDescent="0.25">
      <c r="A136" s="1"/>
      <c r="B136" s="388"/>
      <c r="C136" s="274"/>
      <c r="D136" s="478" t="s">
        <v>496</v>
      </c>
      <c r="E136" s="384"/>
      <c r="F136" s="385"/>
      <c r="G136" s="385"/>
      <c r="H136" s="385"/>
      <c r="I136" s="386"/>
      <c r="J136" s="386"/>
      <c r="K136" s="386"/>
      <c r="L136" s="219"/>
      <c r="M136" s="219"/>
      <c r="N136" s="393" t="s">
        <v>1286</v>
      </c>
      <c r="O136" s="219"/>
      <c r="P136" s="401"/>
      <c r="Q136" s="2"/>
      <c r="R136" s="33"/>
      <c r="S136" s="60"/>
      <c r="T136" s="60"/>
      <c r="U136" s="60"/>
      <c r="V136" s="60"/>
      <c r="W136" s="60"/>
    </row>
    <row r="137" spans="1:23" ht="15" customHeight="1" thickBot="1" x14ac:dyDescent="0.25">
      <c r="A137" s="1"/>
      <c r="B137" s="937"/>
      <c r="C137" s="946"/>
      <c r="D137" s="935"/>
      <c r="E137" s="987"/>
      <c r="F137" s="888"/>
      <c r="G137" s="888"/>
      <c r="H137" s="888"/>
      <c r="I137" s="890"/>
      <c r="J137" s="890"/>
      <c r="K137" s="890"/>
      <c r="L137" s="890"/>
      <c r="M137" s="219"/>
      <c r="N137" s="219" t="s">
        <v>1287</v>
      </c>
      <c r="O137" s="219"/>
      <c r="P137" s="401"/>
      <c r="Q137" s="2"/>
      <c r="R137" s="33"/>
      <c r="S137" s="60"/>
      <c r="T137" s="60"/>
      <c r="U137" s="60"/>
      <c r="V137" s="60"/>
      <c r="W137" s="60"/>
    </row>
    <row r="138" spans="1:23" ht="16.5" customHeight="1" thickBot="1" x14ac:dyDescent="0.25">
      <c r="A138" s="808"/>
      <c r="B138" s="1059" t="s">
        <v>1313</v>
      </c>
      <c r="C138" s="1070" t="s">
        <v>700</v>
      </c>
      <c r="D138" s="1076"/>
      <c r="E138" s="977" t="s">
        <v>1064</v>
      </c>
      <c r="F138" s="1074"/>
      <c r="G138" s="977"/>
      <c r="H138" s="1062"/>
      <c r="I138" s="1062"/>
      <c r="J138" s="1062"/>
      <c r="K138" s="1063" t="s">
        <v>697</v>
      </c>
      <c r="L138" s="1075"/>
      <c r="M138" s="219"/>
      <c r="N138" s="890" t="s">
        <v>1285</v>
      </c>
      <c r="O138" s="219"/>
      <c r="P138" s="401"/>
      <c r="Q138" s="2"/>
      <c r="R138" s="33"/>
      <c r="S138" s="60"/>
      <c r="T138" s="60"/>
      <c r="U138" s="60"/>
      <c r="V138" s="60"/>
      <c r="W138" s="60"/>
    </row>
    <row r="139" spans="1:23" ht="16.5" customHeight="1" x14ac:dyDescent="0.2">
      <c r="A139" s="808"/>
      <c r="B139" s="1160">
        <v>50</v>
      </c>
      <c r="C139" s="1178" t="s">
        <v>498</v>
      </c>
      <c r="D139" s="1180">
        <f>УПР_050ФГ2</f>
        <v>42000</v>
      </c>
      <c r="E139" s="389" t="s">
        <v>487</v>
      </c>
      <c r="F139" s="1161"/>
      <c r="G139" s="377"/>
      <c r="H139" s="1161"/>
      <c r="I139" s="377"/>
      <c r="J139" s="377"/>
      <c r="K139" s="377"/>
      <c r="L139" s="1030"/>
      <c r="M139" s="1021"/>
      <c r="N139" s="1023">
        <f>КОФ_50</f>
        <v>3500</v>
      </c>
      <c r="O139" s="219"/>
      <c r="P139" s="401"/>
      <c r="Q139" s="2"/>
      <c r="R139" s="60"/>
      <c r="S139" s="60"/>
      <c r="T139" s="60"/>
      <c r="U139" s="60"/>
      <c r="V139" s="60"/>
      <c r="W139" s="60"/>
    </row>
    <row r="140" spans="1:23" ht="16.5" customHeight="1" x14ac:dyDescent="0.2">
      <c r="A140" s="808"/>
      <c r="B140" s="1155">
        <v>65</v>
      </c>
      <c r="C140" s="1167" t="s">
        <v>577</v>
      </c>
      <c r="D140" s="1177">
        <f>УПР_065ФГ2</f>
        <v>54600</v>
      </c>
      <c r="E140" s="540" t="s">
        <v>284</v>
      </c>
      <c r="F140" s="523"/>
      <c r="G140" s="383"/>
      <c r="H140" s="523"/>
      <c r="I140" s="382"/>
      <c r="J140" s="382"/>
      <c r="K140" s="382"/>
      <c r="L140" s="1157"/>
      <c r="M140" s="1021"/>
      <c r="N140" s="1022">
        <f>КОФ_65</f>
        <v>3920</v>
      </c>
      <c r="O140" s="219"/>
      <c r="P140" s="401"/>
      <c r="Q140" s="2"/>
      <c r="R140" s="602"/>
      <c r="S140" s="60"/>
      <c r="T140" s="60"/>
      <c r="U140" s="60"/>
      <c r="V140" s="60"/>
      <c r="W140" s="60"/>
    </row>
    <row r="141" spans="1:23" ht="16.5" customHeight="1" x14ac:dyDescent="0.2">
      <c r="A141" s="808"/>
      <c r="B141" s="1160">
        <v>80</v>
      </c>
      <c r="C141" s="1162" t="s">
        <v>553</v>
      </c>
      <c r="D141" s="1181">
        <f>УПР_080ФГ2</f>
        <v>56000</v>
      </c>
      <c r="E141" s="1183" t="s">
        <v>285</v>
      </c>
      <c r="F141" s="1174"/>
      <c r="G141" s="230"/>
      <c r="H141" s="1174"/>
      <c r="I141" s="219"/>
      <c r="J141" s="219"/>
      <c r="K141" s="219"/>
      <c r="L141" s="1030"/>
      <c r="M141" s="1021"/>
      <c r="N141" s="1023">
        <f>КОФ_80</f>
        <v>3920</v>
      </c>
      <c r="O141" s="219"/>
      <c r="P141" s="401"/>
      <c r="Q141" s="2"/>
      <c r="R141" s="33"/>
      <c r="S141" s="60"/>
      <c r="T141" s="60"/>
      <c r="U141" s="60"/>
      <c r="V141" s="60"/>
      <c r="W141" s="60"/>
    </row>
    <row r="142" spans="1:23" ht="16.5" customHeight="1" x14ac:dyDescent="0.2">
      <c r="A142" s="808"/>
      <c r="B142" s="1155">
        <v>100</v>
      </c>
      <c r="C142" s="1167" t="s">
        <v>554</v>
      </c>
      <c r="D142" s="1177">
        <f>УПР_100ФГ2</f>
        <v>58800</v>
      </c>
      <c r="E142" s="540" t="s">
        <v>286</v>
      </c>
      <c r="F142" s="523"/>
      <c r="G142" s="383"/>
      <c r="H142" s="523"/>
      <c r="I142" s="382"/>
      <c r="J142" s="382"/>
      <c r="K142" s="382"/>
      <c r="L142" s="1157"/>
      <c r="M142" s="1021"/>
      <c r="N142" s="1022">
        <f>КОФ_100</f>
        <v>4620</v>
      </c>
      <c r="O142" s="219"/>
      <c r="P142" s="401"/>
      <c r="Q142" s="2"/>
      <c r="R142" s="33"/>
      <c r="S142" s="60"/>
      <c r="T142" s="60"/>
      <c r="U142" s="60"/>
      <c r="V142" s="60"/>
      <c r="W142" s="60"/>
    </row>
    <row r="143" spans="1:23" ht="16.5" customHeight="1" x14ac:dyDescent="0.2">
      <c r="A143" s="808"/>
      <c r="B143" s="1160">
        <v>125</v>
      </c>
      <c r="C143" s="1162" t="s">
        <v>760</v>
      </c>
      <c r="D143" s="1181">
        <f>УПР_150ФГ2</f>
        <v>84000</v>
      </c>
      <c r="E143" s="389" t="s">
        <v>761</v>
      </c>
      <c r="F143" s="1174"/>
      <c r="G143" s="230"/>
      <c r="H143" s="230"/>
      <c r="I143" s="219"/>
      <c r="J143" s="1176"/>
      <c r="K143" s="1175"/>
      <c r="L143" s="1030"/>
      <c r="M143" s="1021"/>
      <c r="N143" s="1023">
        <f>КОФ_150</f>
        <v>7000</v>
      </c>
      <c r="O143" s="219"/>
      <c r="P143" s="401"/>
      <c r="Q143" s="2"/>
      <c r="R143" s="33"/>
      <c r="S143" s="60"/>
      <c r="T143" s="60"/>
      <c r="U143" s="60"/>
      <c r="V143" s="60"/>
      <c r="W143" s="60"/>
    </row>
    <row r="144" spans="1:23" ht="16.5" customHeight="1" x14ac:dyDescent="0.2">
      <c r="A144" s="808"/>
      <c r="B144" s="1155">
        <v>150</v>
      </c>
      <c r="C144" s="1167" t="s">
        <v>499</v>
      </c>
      <c r="D144" s="1177">
        <f>УПР_150ФГ2</f>
        <v>84000</v>
      </c>
      <c r="E144" s="426" t="s">
        <v>287</v>
      </c>
      <c r="F144" s="523"/>
      <c r="G144" s="383"/>
      <c r="H144" s="383"/>
      <c r="I144" s="382"/>
      <c r="J144" s="1166"/>
      <c r="K144" s="530"/>
      <c r="L144" s="1157"/>
      <c r="M144" s="1021"/>
      <c r="N144" s="1022">
        <f>КОФ_150</f>
        <v>7000</v>
      </c>
      <c r="O144" s="219"/>
      <c r="P144" s="401"/>
      <c r="Q144" s="2"/>
      <c r="R144" s="33"/>
      <c r="S144" s="60"/>
      <c r="T144" s="60"/>
      <c r="U144" s="60"/>
      <c r="V144" s="60"/>
      <c r="W144" s="60"/>
    </row>
    <row r="145" spans="1:23" ht="16.5" customHeight="1" x14ac:dyDescent="0.2">
      <c r="A145" s="808"/>
      <c r="B145" s="1160">
        <v>200</v>
      </c>
      <c r="C145" s="1162" t="s">
        <v>500</v>
      </c>
      <c r="D145" s="1181">
        <f>УПР_200ФГ2</f>
        <v>119000</v>
      </c>
      <c r="E145" s="389" t="s">
        <v>288</v>
      </c>
      <c r="F145" s="1174"/>
      <c r="G145" s="1173"/>
      <c r="H145" s="230"/>
      <c r="I145" s="219"/>
      <c r="J145" s="219"/>
      <c r="K145" s="219"/>
      <c r="L145" s="1030"/>
      <c r="M145" s="1021"/>
      <c r="N145" s="1023">
        <f>КОФ_200</f>
        <v>12320</v>
      </c>
      <c r="O145" s="219"/>
      <c r="P145" s="401"/>
      <c r="Q145" s="2"/>
      <c r="R145" s="60"/>
      <c r="S145" s="60"/>
      <c r="T145" s="60"/>
      <c r="U145" s="60"/>
      <c r="V145" s="60"/>
      <c r="W145" s="60"/>
    </row>
    <row r="146" spans="1:23" ht="16.5" customHeight="1" x14ac:dyDescent="0.2">
      <c r="A146" s="808"/>
      <c r="B146" s="1155">
        <v>250</v>
      </c>
      <c r="C146" s="1167" t="s">
        <v>272</v>
      </c>
      <c r="D146" s="1177">
        <f>УПР_250ФГ2</f>
        <v>262500</v>
      </c>
      <c r="E146" s="426" t="s">
        <v>289</v>
      </c>
      <c r="F146" s="523"/>
      <c r="G146" s="383"/>
      <c r="H146" s="383"/>
      <c r="I146" s="382"/>
      <c r="J146" s="1166"/>
      <c r="K146" s="530"/>
      <c r="L146" s="1157"/>
      <c r="M146" s="1021"/>
      <c r="N146" s="1022">
        <f>КОФ_250</f>
        <v>17500</v>
      </c>
      <c r="O146" s="219"/>
      <c r="P146" s="401"/>
      <c r="Q146" s="2"/>
      <c r="R146" s="33"/>
      <c r="S146" s="60"/>
      <c r="T146" s="60"/>
      <c r="U146" s="60"/>
      <c r="V146" s="60"/>
      <c r="W146" s="60"/>
    </row>
    <row r="147" spans="1:23" ht="16.5" customHeight="1" x14ac:dyDescent="0.2">
      <c r="A147" s="808"/>
      <c r="B147" s="1160">
        <v>300</v>
      </c>
      <c r="C147" s="1162" t="s">
        <v>273</v>
      </c>
      <c r="D147" s="1181">
        <f>УПР_300ФГ2</f>
        <v>332500</v>
      </c>
      <c r="E147" s="389" t="s">
        <v>290</v>
      </c>
      <c r="F147" s="1174"/>
      <c r="G147" s="1173"/>
      <c r="H147" s="230"/>
      <c r="I147" s="219"/>
      <c r="J147" s="219"/>
      <c r="K147" s="219"/>
      <c r="L147" s="1030"/>
      <c r="M147" s="1021"/>
      <c r="N147" s="1023">
        <f>КОФ_300</f>
        <v>21000</v>
      </c>
      <c r="O147" s="219"/>
      <c r="P147" s="401"/>
      <c r="Q147" s="2"/>
      <c r="R147" s="33"/>
      <c r="S147" s="60"/>
      <c r="T147" s="60"/>
      <c r="U147" s="60"/>
      <c r="V147" s="60"/>
      <c r="W147" s="60"/>
    </row>
    <row r="148" spans="1:23" ht="16.5" customHeight="1" x14ac:dyDescent="0.2">
      <c r="A148" s="808"/>
      <c r="B148" s="1155">
        <v>350</v>
      </c>
      <c r="C148" s="1167" t="s">
        <v>310</v>
      </c>
      <c r="D148" s="1177" t="str">
        <f t="shared" ref="D148:D155" si="1">УПР_1000ФГ2</f>
        <v xml:space="preserve">по запросу </v>
      </c>
      <c r="E148" s="426" t="s">
        <v>384</v>
      </c>
      <c r="F148" s="523"/>
      <c r="G148" s="383"/>
      <c r="H148" s="383"/>
      <c r="I148" s="382"/>
      <c r="J148" s="1166"/>
      <c r="K148" s="530"/>
      <c r="L148" s="1157"/>
      <c r="M148" s="1021"/>
      <c r="N148" s="1022">
        <f>КОФ_350</f>
        <v>26320</v>
      </c>
      <c r="O148" s="219"/>
      <c r="P148" s="401"/>
      <c r="Q148" s="2"/>
      <c r="R148" s="33"/>
      <c r="S148" s="60"/>
      <c r="T148" s="60"/>
      <c r="U148" s="60"/>
      <c r="V148" s="60"/>
      <c r="W148" s="60"/>
    </row>
    <row r="149" spans="1:23" ht="16.5" customHeight="1" x14ac:dyDescent="0.2">
      <c r="A149" s="808"/>
      <c r="B149" s="1160">
        <v>400</v>
      </c>
      <c r="C149" s="1162" t="s">
        <v>380</v>
      </c>
      <c r="D149" s="1181" t="str">
        <f t="shared" si="1"/>
        <v xml:space="preserve">по запросу </v>
      </c>
      <c r="E149" s="389" t="s">
        <v>385</v>
      </c>
      <c r="F149" s="1174"/>
      <c r="G149" s="1173"/>
      <c r="H149" s="230"/>
      <c r="I149" s="219"/>
      <c r="J149" s="219"/>
      <c r="K149" s="219"/>
      <c r="L149" s="1030"/>
      <c r="M149" s="1021"/>
      <c r="N149" s="1023">
        <f>КОФ_400</f>
        <v>31500</v>
      </c>
      <c r="O149" s="219"/>
      <c r="P149" s="401"/>
      <c r="Q149" s="2"/>
      <c r="R149" s="33"/>
      <c r="S149" s="60"/>
      <c r="T149" s="60"/>
      <c r="U149" s="60"/>
      <c r="V149" s="60"/>
      <c r="W149" s="60"/>
    </row>
    <row r="150" spans="1:23" ht="16.5" customHeight="1" x14ac:dyDescent="0.2">
      <c r="A150" s="808"/>
      <c r="B150" s="1155">
        <v>500</v>
      </c>
      <c r="C150" s="1167" t="s">
        <v>311</v>
      </c>
      <c r="D150" s="1177" t="str">
        <f t="shared" si="1"/>
        <v xml:space="preserve">по запросу </v>
      </c>
      <c r="E150" s="426" t="s">
        <v>386</v>
      </c>
      <c r="F150" s="523"/>
      <c r="G150" s="383"/>
      <c r="H150" s="383"/>
      <c r="I150" s="382"/>
      <c r="J150" s="1166"/>
      <c r="K150" s="530"/>
      <c r="L150" s="1157"/>
      <c r="M150" s="1021"/>
      <c r="N150" s="1022">
        <f>КОФ_500</f>
        <v>43820</v>
      </c>
      <c r="O150" s="219"/>
      <c r="P150" s="401"/>
      <c r="Q150" s="2"/>
      <c r="R150" s="33"/>
      <c r="S150" s="60"/>
      <c r="T150" s="60"/>
      <c r="U150" s="60"/>
      <c r="V150" s="60"/>
      <c r="W150" s="60"/>
    </row>
    <row r="151" spans="1:23" ht="16.5" customHeight="1" x14ac:dyDescent="0.2">
      <c r="A151" s="808"/>
      <c r="B151" s="1160">
        <v>600</v>
      </c>
      <c r="C151" s="1162" t="s">
        <v>381</v>
      </c>
      <c r="D151" s="1181" t="str">
        <f t="shared" si="1"/>
        <v xml:space="preserve">по запросу </v>
      </c>
      <c r="E151" s="389" t="s">
        <v>387</v>
      </c>
      <c r="F151" s="1174"/>
      <c r="G151" s="1173"/>
      <c r="H151" s="230"/>
      <c r="I151" s="219"/>
      <c r="J151" s="219"/>
      <c r="K151" s="219"/>
      <c r="L151" s="1030"/>
      <c r="M151" s="1021"/>
      <c r="N151" s="1023">
        <f>КОФ_600</f>
        <v>70000</v>
      </c>
      <c r="O151" s="219"/>
      <c r="P151" s="401"/>
      <c r="Q151" s="2"/>
      <c r="R151" s="33"/>
      <c r="S151" s="60"/>
      <c r="T151" s="60"/>
      <c r="U151" s="60"/>
      <c r="V151" s="60"/>
      <c r="W151" s="60"/>
    </row>
    <row r="152" spans="1:23" ht="16.5" customHeight="1" x14ac:dyDescent="0.2">
      <c r="A152" s="808"/>
      <c r="B152" s="1155">
        <v>700</v>
      </c>
      <c r="C152" s="1167" t="s">
        <v>312</v>
      </c>
      <c r="D152" s="1177" t="str">
        <f t="shared" si="1"/>
        <v xml:space="preserve">по запросу </v>
      </c>
      <c r="E152" s="426" t="s">
        <v>388</v>
      </c>
      <c r="F152" s="523"/>
      <c r="G152" s="383"/>
      <c r="H152" s="383"/>
      <c r="I152" s="382"/>
      <c r="J152" s="1166"/>
      <c r="K152" s="530"/>
      <c r="L152" s="1157"/>
      <c r="M152" s="1021"/>
      <c r="N152" s="1022">
        <f>КОФ_700</f>
        <v>87500</v>
      </c>
      <c r="O152" s="219"/>
      <c r="P152" s="401"/>
      <c r="Q152" s="2"/>
      <c r="R152" s="33"/>
      <c r="S152" s="60"/>
      <c r="T152" s="60"/>
      <c r="U152" s="60"/>
      <c r="V152" s="60"/>
      <c r="W152" s="60"/>
    </row>
    <row r="153" spans="1:23" ht="16.5" customHeight="1" x14ac:dyDescent="0.2">
      <c r="A153" s="808"/>
      <c r="B153" s="1160">
        <v>800</v>
      </c>
      <c r="C153" s="1162" t="s">
        <v>382</v>
      </c>
      <c r="D153" s="1181" t="str">
        <f t="shared" si="1"/>
        <v xml:space="preserve">по запросу </v>
      </c>
      <c r="E153" s="389" t="s">
        <v>389</v>
      </c>
      <c r="F153" s="1174"/>
      <c r="G153" s="1173"/>
      <c r="H153" s="230"/>
      <c r="I153" s="219"/>
      <c r="J153" s="219"/>
      <c r="K153" s="219"/>
      <c r="L153" s="1030"/>
      <c r="M153" s="1021"/>
      <c r="N153" s="1023">
        <f>КОФ_800</f>
        <v>122500</v>
      </c>
      <c r="O153" s="219"/>
      <c r="P153" s="401"/>
      <c r="Q153" s="2"/>
      <c r="R153" s="33"/>
      <c r="S153" s="60"/>
      <c r="T153" s="60"/>
      <c r="U153" s="60"/>
      <c r="V153" s="60"/>
      <c r="W153" s="60"/>
    </row>
    <row r="154" spans="1:23" ht="16.5" customHeight="1" x14ac:dyDescent="0.2">
      <c r="A154" s="808"/>
      <c r="B154" s="1155">
        <v>900</v>
      </c>
      <c r="C154" s="1167" t="s">
        <v>383</v>
      </c>
      <c r="D154" s="1177" t="str">
        <f t="shared" si="1"/>
        <v xml:space="preserve">по запросу </v>
      </c>
      <c r="E154" s="426" t="s">
        <v>390</v>
      </c>
      <c r="F154" s="523"/>
      <c r="G154" s="525"/>
      <c r="H154" s="383"/>
      <c r="I154" s="382"/>
      <c r="J154" s="382"/>
      <c r="K154" s="382"/>
      <c r="L154" s="1157"/>
      <c r="M154" s="1021"/>
      <c r="N154" s="1022">
        <f>КОФ_900</f>
        <v>168000</v>
      </c>
      <c r="O154" s="219"/>
      <c r="P154" s="401"/>
      <c r="Q154" s="2"/>
      <c r="R154" s="33"/>
      <c r="S154" s="60"/>
      <c r="T154" s="60"/>
      <c r="U154" s="60"/>
      <c r="V154" s="60"/>
      <c r="W154" s="60"/>
    </row>
    <row r="155" spans="1:23" ht="16.5" customHeight="1" thickBot="1" x14ac:dyDescent="0.25">
      <c r="A155" s="808"/>
      <c r="B155" s="1195">
        <v>1000</v>
      </c>
      <c r="C155" s="1194" t="s">
        <v>313</v>
      </c>
      <c r="D155" s="1248" t="str">
        <f t="shared" si="1"/>
        <v xml:space="preserve">по запросу </v>
      </c>
      <c r="E155" s="935" t="s">
        <v>391</v>
      </c>
      <c r="F155" s="1196"/>
      <c r="G155" s="1197"/>
      <c r="H155" s="888"/>
      <c r="I155" s="890"/>
      <c r="J155" s="890"/>
      <c r="K155" s="890"/>
      <c r="L155" s="1198"/>
      <c r="M155" s="1021"/>
      <c r="N155" s="1199">
        <f>КОФ_1000</f>
        <v>192500</v>
      </c>
      <c r="O155" s="219"/>
      <c r="P155" s="401"/>
      <c r="Q155" s="2"/>
      <c r="R155" s="33"/>
      <c r="S155" s="60"/>
      <c r="T155" s="60"/>
      <c r="U155" s="60"/>
      <c r="V155" s="60"/>
      <c r="W155" s="60"/>
    </row>
    <row r="156" spans="1:23" ht="15" customHeight="1" x14ac:dyDescent="0.2">
      <c r="A156" s="1"/>
      <c r="B156" s="388"/>
      <c r="C156" s="274"/>
      <c r="D156" s="389"/>
      <c r="E156" s="390"/>
      <c r="F156" s="230"/>
      <c r="G156" s="230"/>
      <c r="H156" s="230"/>
      <c r="I156" s="219"/>
      <c r="J156" s="219"/>
      <c r="K156" s="219"/>
      <c r="L156" s="219"/>
      <c r="M156" s="219"/>
      <c r="N156" s="219"/>
      <c r="O156" s="219"/>
      <c r="P156" s="401"/>
      <c r="Q156" s="2"/>
      <c r="R156" s="60"/>
      <c r="S156" s="60"/>
      <c r="T156" s="60"/>
      <c r="U156" s="60"/>
      <c r="V156" s="60"/>
      <c r="W156" s="60"/>
    </row>
    <row r="157" spans="1:23" ht="15" customHeight="1" x14ac:dyDescent="0.2">
      <c r="A157" s="1"/>
      <c r="B157" s="388"/>
      <c r="C157" s="274"/>
      <c r="D157" s="389"/>
      <c r="E157" s="390"/>
      <c r="F157" s="230"/>
      <c r="G157" s="230"/>
      <c r="H157" s="230"/>
      <c r="I157" s="219"/>
      <c r="J157" s="219"/>
      <c r="K157" s="219"/>
      <c r="L157" s="219"/>
      <c r="M157" s="219"/>
      <c r="N157" s="393"/>
      <c r="O157" s="219"/>
      <c r="P157" s="401"/>
      <c r="Q157" s="2"/>
      <c r="R157" s="33"/>
      <c r="S157" s="60"/>
      <c r="T157" s="60"/>
      <c r="U157" s="60"/>
      <c r="V157" s="60"/>
      <c r="W157" s="60"/>
    </row>
    <row r="158" spans="1:23" ht="15" customHeight="1" x14ac:dyDescent="0.25">
      <c r="A158" s="1"/>
      <c r="B158" s="388"/>
      <c r="C158" s="274"/>
      <c r="D158" s="478"/>
      <c r="E158" s="384"/>
      <c r="F158" s="385"/>
      <c r="G158" s="385"/>
      <c r="H158" s="385"/>
      <c r="I158" s="386"/>
      <c r="J158" s="386"/>
      <c r="K158" s="386"/>
      <c r="L158" s="219"/>
      <c r="M158" s="219"/>
      <c r="N158" s="219"/>
      <c r="O158" s="219"/>
      <c r="P158" s="401"/>
      <c r="Q158" s="2"/>
      <c r="R158" s="33"/>
      <c r="S158" s="60"/>
      <c r="T158" s="60"/>
      <c r="U158" s="60"/>
      <c r="V158" s="60"/>
      <c r="W158" s="60"/>
    </row>
    <row r="159" spans="1:23" ht="15" customHeight="1" x14ac:dyDescent="0.25">
      <c r="A159" s="1"/>
      <c r="B159" s="388"/>
      <c r="C159" s="274"/>
      <c r="D159" s="478" t="s">
        <v>497</v>
      </c>
      <c r="E159" s="384"/>
      <c r="F159" s="385"/>
      <c r="G159" s="385"/>
      <c r="H159" s="385"/>
      <c r="I159" s="386"/>
      <c r="J159" s="386"/>
      <c r="K159" s="386"/>
      <c r="L159" s="219"/>
      <c r="M159" s="219"/>
      <c r="N159" s="393" t="s">
        <v>1286</v>
      </c>
      <c r="O159" s="219"/>
      <c r="P159" s="401"/>
      <c r="Q159" s="2"/>
      <c r="R159" s="33"/>
      <c r="S159" s="60"/>
      <c r="T159" s="60"/>
      <c r="U159" s="60"/>
      <c r="V159" s="60"/>
      <c r="W159" s="60"/>
    </row>
    <row r="160" spans="1:23" ht="15" customHeight="1" thickBot="1" x14ac:dyDescent="0.25">
      <c r="A160" s="1"/>
      <c r="B160" s="937"/>
      <c r="C160" s="946"/>
      <c r="D160" s="935"/>
      <c r="E160" s="987"/>
      <c r="F160" s="888"/>
      <c r="G160" s="888"/>
      <c r="H160" s="888"/>
      <c r="I160" s="890"/>
      <c r="J160" s="890"/>
      <c r="K160" s="890"/>
      <c r="L160" s="890"/>
      <c r="M160" s="219"/>
      <c r="N160" s="219" t="s">
        <v>1287</v>
      </c>
      <c r="O160" s="219"/>
      <c r="P160" s="401"/>
      <c r="Q160" s="2"/>
      <c r="R160" s="60"/>
      <c r="S160" s="60"/>
      <c r="T160" s="60"/>
      <c r="U160" s="60"/>
      <c r="V160" s="60"/>
      <c r="W160" s="60"/>
    </row>
    <row r="161" spans="1:23" ht="16.5" customHeight="1" thickBot="1" x14ac:dyDescent="0.25">
      <c r="A161" s="808"/>
      <c r="B161" s="1059" t="s">
        <v>1313</v>
      </c>
      <c r="C161" s="1060" t="s">
        <v>700</v>
      </c>
      <c r="D161" s="1061"/>
      <c r="E161" s="977" t="s">
        <v>1064</v>
      </c>
      <c r="F161" s="1074"/>
      <c r="G161" s="977"/>
      <c r="H161" s="1062"/>
      <c r="I161" s="1062"/>
      <c r="J161" s="1062"/>
      <c r="K161" s="1063" t="s">
        <v>697</v>
      </c>
      <c r="L161" s="1075"/>
      <c r="M161" s="219"/>
      <c r="N161" s="219" t="s">
        <v>1285</v>
      </c>
      <c r="O161" s="219"/>
      <c r="P161" s="401"/>
      <c r="Q161" s="2"/>
      <c r="R161" s="602"/>
      <c r="S161" s="60"/>
      <c r="T161" s="60"/>
      <c r="U161" s="60"/>
      <c r="V161" s="60"/>
      <c r="W161" s="60"/>
    </row>
    <row r="162" spans="1:23" ht="16.5" customHeight="1" x14ac:dyDescent="0.2">
      <c r="A162" s="808"/>
      <c r="B162" s="1049">
        <v>125</v>
      </c>
      <c r="C162" s="1178" t="s">
        <v>762</v>
      </c>
      <c r="D162" s="1180">
        <f>УПР_150ФСТ2</f>
        <v>65520</v>
      </c>
      <c r="E162" s="389" t="s">
        <v>1047</v>
      </c>
      <c r="F162" s="1161"/>
      <c r="G162" s="501"/>
      <c r="H162" s="377"/>
      <c r="I162" s="377"/>
      <c r="J162" s="377"/>
      <c r="K162" s="377"/>
      <c r="L162" s="1204"/>
      <c r="M162" s="1021"/>
      <c r="N162" s="1186">
        <f>КОФ_150</f>
        <v>7000</v>
      </c>
      <c r="O162" s="219"/>
      <c r="P162" s="401"/>
      <c r="Q162" s="2"/>
      <c r="R162" s="602"/>
      <c r="S162" s="60"/>
      <c r="T162" s="60"/>
      <c r="U162" s="60"/>
      <c r="V162" s="60"/>
      <c r="W162" s="60"/>
    </row>
    <row r="163" spans="1:23" ht="16.5" customHeight="1" x14ac:dyDescent="0.2">
      <c r="A163" s="808"/>
      <c r="B163" s="1029">
        <v>150</v>
      </c>
      <c r="C163" s="1167" t="s">
        <v>763</v>
      </c>
      <c r="D163" s="1177">
        <f>УПР_150ФСТ2</f>
        <v>65520</v>
      </c>
      <c r="E163" s="426" t="s">
        <v>965</v>
      </c>
      <c r="F163" s="504"/>
      <c r="G163" s="241"/>
      <c r="H163" s="241"/>
      <c r="I163" s="241"/>
      <c r="J163" s="241"/>
      <c r="K163" s="241"/>
      <c r="L163" s="1026"/>
      <c r="M163" s="1021"/>
      <c r="N163" s="1022">
        <f>КОФ_150</f>
        <v>7000</v>
      </c>
      <c r="O163" s="219"/>
      <c r="P163" s="401"/>
      <c r="Q163" s="2"/>
      <c r="R163" s="602"/>
      <c r="S163" s="60"/>
      <c r="T163" s="60"/>
      <c r="U163" s="60"/>
      <c r="V163" s="60"/>
      <c r="W163" s="60"/>
    </row>
    <row r="164" spans="1:23" ht="16.5" customHeight="1" x14ac:dyDescent="0.2">
      <c r="A164" s="808"/>
      <c r="B164" s="1049">
        <v>200</v>
      </c>
      <c r="C164" s="1162" t="s">
        <v>573</v>
      </c>
      <c r="D164" s="1181">
        <f>УПР_200ФСТ2</f>
        <v>71400</v>
      </c>
      <c r="E164" s="389" t="s">
        <v>965</v>
      </c>
      <c r="F164" s="1161"/>
      <c r="G164" s="377"/>
      <c r="H164" s="377"/>
      <c r="I164" s="377"/>
      <c r="J164" s="377"/>
      <c r="K164" s="377"/>
      <c r="L164" s="1205"/>
      <c r="M164" s="1021"/>
      <c r="N164" s="1023">
        <f>КОФ_200</f>
        <v>12320</v>
      </c>
      <c r="O164" s="219"/>
      <c r="P164" s="401"/>
      <c r="Q164" s="2"/>
      <c r="R164" s="602"/>
      <c r="S164" s="60"/>
      <c r="T164" s="60"/>
      <c r="U164" s="60"/>
      <c r="V164" s="60"/>
      <c r="W164" s="60"/>
    </row>
    <row r="165" spans="1:23" ht="16.5" customHeight="1" x14ac:dyDescent="0.2">
      <c r="A165" s="808"/>
      <c r="B165" s="1029">
        <v>250</v>
      </c>
      <c r="C165" s="1167" t="s">
        <v>501</v>
      </c>
      <c r="D165" s="1177">
        <f>УПР_250ФСТ2</f>
        <v>119000</v>
      </c>
      <c r="E165" s="426" t="s">
        <v>996</v>
      </c>
      <c r="F165" s="504"/>
      <c r="G165" s="241"/>
      <c r="H165" s="241"/>
      <c r="I165" s="241"/>
      <c r="J165" s="241"/>
      <c r="K165" s="241"/>
      <c r="L165" s="1187"/>
      <c r="M165" s="1021"/>
      <c r="N165" s="1022">
        <f>КОФ_250</f>
        <v>17500</v>
      </c>
      <c r="O165" s="219"/>
      <c r="P165" s="401"/>
      <c r="Q165" s="2"/>
      <c r="R165" s="33"/>
      <c r="S165" s="60"/>
      <c r="T165" s="60"/>
      <c r="U165" s="60"/>
      <c r="V165" s="60"/>
      <c r="W165" s="60"/>
    </row>
    <row r="166" spans="1:23" ht="16.5" customHeight="1" x14ac:dyDescent="0.2">
      <c r="A166" s="808"/>
      <c r="B166" s="1049">
        <v>300</v>
      </c>
      <c r="C166" s="1162" t="s">
        <v>294</v>
      </c>
      <c r="D166" s="1181">
        <f>УПР_300ФСТ2</f>
        <v>133000</v>
      </c>
      <c r="E166" s="1183" t="s">
        <v>250</v>
      </c>
      <c r="F166" s="1172"/>
      <c r="G166" s="377"/>
      <c r="H166" s="1161"/>
      <c r="I166" s="377"/>
      <c r="J166" s="377"/>
      <c r="K166" s="377"/>
      <c r="L166" s="1205"/>
      <c r="M166" s="1021"/>
      <c r="N166" s="1023">
        <f>КОФ_300</f>
        <v>21000</v>
      </c>
      <c r="O166" s="219"/>
      <c r="P166" s="401"/>
      <c r="Q166" s="2"/>
      <c r="R166" s="33"/>
      <c r="S166" s="60"/>
      <c r="T166" s="60"/>
      <c r="U166" s="60"/>
      <c r="V166" s="60"/>
      <c r="W166" s="60"/>
    </row>
    <row r="167" spans="1:23" ht="16.5" customHeight="1" x14ac:dyDescent="0.2">
      <c r="A167" s="808"/>
      <c r="B167" s="1029">
        <v>350</v>
      </c>
      <c r="C167" s="1167" t="s">
        <v>998</v>
      </c>
      <c r="D167" s="1177">
        <f>УПР_350ФСТ2</f>
        <v>168000</v>
      </c>
      <c r="E167" s="540" t="s">
        <v>251</v>
      </c>
      <c r="F167" s="526"/>
      <c r="G167" s="241"/>
      <c r="H167" s="504"/>
      <c r="I167" s="241"/>
      <c r="J167" s="241"/>
      <c r="K167" s="1200"/>
      <c r="L167" s="1157"/>
      <c r="M167" s="1021"/>
      <c r="N167" s="1022">
        <f>КОФ_350</f>
        <v>26320</v>
      </c>
      <c r="O167" s="219"/>
      <c r="P167" s="401"/>
      <c r="Q167" s="2"/>
      <c r="R167" s="60"/>
      <c r="S167" s="60"/>
      <c r="T167" s="60"/>
      <c r="U167" s="60"/>
      <c r="V167" s="60"/>
      <c r="W167" s="60"/>
    </row>
    <row r="168" spans="1:23" ht="16.5" customHeight="1" x14ac:dyDescent="0.2">
      <c r="A168" s="808"/>
      <c r="B168" s="1049">
        <v>400</v>
      </c>
      <c r="C168" s="1162" t="s">
        <v>555</v>
      </c>
      <c r="D168" s="1181">
        <f>УПР_400ФСТ2</f>
        <v>182000</v>
      </c>
      <c r="E168" s="1183" t="s">
        <v>252</v>
      </c>
      <c r="F168" s="1206"/>
      <c r="G168" s="230"/>
      <c r="H168" s="1174"/>
      <c r="I168" s="219"/>
      <c r="J168" s="219"/>
      <c r="K168" s="219"/>
      <c r="L168" s="1205"/>
      <c r="M168" s="1021"/>
      <c r="N168" s="1023">
        <f>КОФ_400</f>
        <v>31500</v>
      </c>
      <c r="O168" s="219"/>
      <c r="P168" s="401"/>
      <c r="Q168" s="2"/>
      <c r="R168" s="33"/>
      <c r="S168" s="60"/>
      <c r="T168" s="60"/>
      <c r="U168" s="60"/>
      <c r="V168" s="60"/>
      <c r="W168" s="60"/>
    </row>
    <row r="169" spans="1:23" ht="16.5" customHeight="1" x14ac:dyDescent="0.2">
      <c r="A169" s="808"/>
      <c r="B169" s="1029">
        <v>500</v>
      </c>
      <c r="C169" s="1167" t="s">
        <v>641</v>
      </c>
      <c r="D169" s="1177">
        <f>УПР_500ФСТ2</f>
        <v>280000</v>
      </c>
      <c r="E169" s="540" t="s">
        <v>253</v>
      </c>
      <c r="F169" s="539"/>
      <c r="G169" s="383"/>
      <c r="H169" s="523"/>
      <c r="I169" s="382"/>
      <c r="J169" s="382"/>
      <c r="K169" s="1201"/>
      <c r="L169" s="1157"/>
      <c r="M169" s="1021"/>
      <c r="N169" s="1022">
        <f>КОФ_500</f>
        <v>43820</v>
      </c>
      <c r="O169" s="219"/>
      <c r="P169" s="401"/>
      <c r="Q169" s="2"/>
      <c r="R169" s="33"/>
      <c r="S169" s="60"/>
      <c r="T169" s="60"/>
      <c r="U169" s="60"/>
      <c r="V169" s="60"/>
      <c r="W169" s="60"/>
    </row>
    <row r="170" spans="1:23" ht="16.5" customHeight="1" x14ac:dyDescent="0.2">
      <c r="A170" s="808"/>
      <c r="B170" s="1049">
        <v>600</v>
      </c>
      <c r="C170" s="1162" t="s">
        <v>642</v>
      </c>
      <c r="D170" s="1181">
        <f>УПР_600ФСТ2</f>
        <v>350000</v>
      </c>
      <c r="E170" s="1183" t="s">
        <v>254</v>
      </c>
      <c r="F170" s="1206"/>
      <c r="G170" s="230"/>
      <c r="H170" s="1174"/>
      <c r="I170" s="219"/>
      <c r="J170" s="219"/>
      <c r="K170" s="219"/>
      <c r="L170" s="1205"/>
      <c r="M170" s="1021"/>
      <c r="N170" s="1023">
        <f>КОФ_600</f>
        <v>70000</v>
      </c>
      <c r="O170" s="219"/>
      <c r="P170" s="401"/>
      <c r="Q170" s="2"/>
      <c r="R170" s="60"/>
      <c r="S170" s="60"/>
      <c r="T170" s="60"/>
      <c r="U170" s="60"/>
      <c r="V170" s="60"/>
      <c r="W170" s="60"/>
    </row>
    <row r="171" spans="1:23" ht="16.5" customHeight="1" x14ac:dyDescent="0.2">
      <c r="A171" s="808"/>
      <c r="B171" s="1029">
        <v>700</v>
      </c>
      <c r="C171" s="1167" t="s">
        <v>1094</v>
      </c>
      <c r="D171" s="1177">
        <f>УПР_700ФСТ2</f>
        <v>420000</v>
      </c>
      <c r="E171" s="426" t="s">
        <v>997</v>
      </c>
      <c r="F171" s="523"/>
      <c r="G171" s="383"/>
      <c r="H171" s="383"/>
      <c r="I171" s="382"/>
      <c r="J171" s="382"/>
      <c r="K171" s="382"/>
      <c r="L171" s="1187"/>
      <c r="M171" s="1021"/>
      <c r="N171" s="1022">
        <f>КОФ_700</f>
        <v>87500</v>
      </c>
      <c r="O171" s="219"/>
      <c r="P171" s="401"/>
      <c r="Q171" s="2"/>
      <c r="R171" s="33"/>
      <c r="S171" s="60"/>
      <c r="T171" s="60"/>
      <c r="U171" s="60"/>
      <c r="V171" s="60"/>
      <c r="W171" s="60"/>
    </row>
    <row r="172" spans="1:23" ht="16.5" customHeight="1" x14ac:dyDescent="0.2">
      <c r="A172" s="808"/>
      <c r="B172" s="1049">
        <v>800</v>
      </c>
      <c r="C172" s="1162" t="s">
        <v>1095</v>
      </c>
      <c r="D172" s="1181">
        <f>УПР_800ФСТ2</f>
        <v>462000</v>
      </c>
      <c r="E172" s="389" t="s">
        <v>506</v>
      </c>
      <c r="F172" s="1174"/>
      <c r="G172" s="1173"/>
      <c r="H172" s="230"/>
      <c r="I172" s="219"/>
      <c r="J172" s="219"/>
      <c r="K172" s="1207"/>
      <c r="L172" s="1030"/>
      <c r="M172" s="1021"/>
      <c r="N172" s="1023">
        <f>КОФ_800</f>
        <v>122500</v>
      </c>
      <c r="O172" s="219"/>
      <c r="P172" s="401"/>
      <c r="Q172" s="2"/>
      <c r="R172" s="60"/>
      <c r="S172" s="60"/>
      <c r="T172" s="60"/>
      <c r="U172" s="60"/>
      <c r="V172" s="60"/>
      <c r="W172" s="60"/>
    </row>
    <row r="173" spans="1:23" ht="16.5" customHeight="1" x14ac:dyDescent="0.2">
      <c r="A173" s="808"/>
      <c r="B173" s="1029">
        <v>900</v>
      </c>
      <c r="C173" s="1167" t="s">
        <v>643</v>
      </c>
      <c r="D173" s="1177">
        <f>УПР_900ФСТ2</f>
        <v>630000</v>
      </c>
      <c r="E173" s="426" t="s">
        <v>966</v>
      </c>
      <c r="F173" s="383"/>
      <c r="G173" s="383"/>
      <c r="H173" s="383"/>
      <c r="I173" s="382"/>
      <c r="J173" s="382"/>
      <c r="K173" s="1201"/>
      <c r="L173" s="1157"/>
      <c r="M173" s="1021"/>
      <c r="N173" s="1022">
        <f>КОФ_900</f>
        <v>168000</v>
      </c>
      <c r="O173" s="219"/>
      <c r="P173" s="401"/>
      <c r="Q173" s="2"/>
      <c r="R173" s="33"/>
      <c r="S173" s="60"/>
      <c r="T173" s="60"/>
      <c r="U173" s="60"/>
      <c r="V173" s="60"/>
      <c r="W173" s="60"/>
    </row>
    <row r="174" spans="1:23" ht="16.5" customHeight="1" x14ac:dyDescent="0.2">
      <c r="A174" s="808"/>
      <c r="B174" s="1049">
        <v>1000</v>
      </c>
      <c r="C174" s="1162" t="s">
        <v>1096</v>
      </c>
      <c r="D174" s="1181">
        <f>УПР_1000ФСТ2</f>
        <v>735000</v>
      </c>
      <c r="E174" s="389" t="s">
        <v>263</v>
      </c>
      <c r="F174" s="230"/>
      <c r="G174" s="230"/>
      <c r="H174" s="230"/>
      <c r="I174" s="219"/>
      <c r="J174" s="219"/>
      <c r="K174" s="219"/>
      <c r="L174" s="1205"/>
      <c r="M174" s="1021"/>
      <c r="N174" s="1023">
        <f>КОФ_1000</f>
        <v>192500</v>
      </c>
      <c r="O174" s="219"/>
      <c r="P174" s="401"/>
      <c r="Q174" s="2"/>
      <c r="R174" s="60"/>
      <c r="S174" s="60"/>
      <c r="T174" s="60"/>
      <c r="U174" s="60"/>
      <c r="V174" s="60"/>
      <c r="W174" s="60"/>
    </row>
    <row r="175" spans="1:23" ht="16.5" customHeight="1" x14ac:dyDescent="0.2">
      <c r="A175" s="808"/>
      <c r="B175" s="1029">
        <v>1200</v>
      </c>
      <c r="C175" s="1167" t="s">
        <v>644</v>
      </c>
      <c r="D175" s="1483" t="str">
        <f>УПР_1200ФСТ2</f>
        <v>по запросу</v>
      </c>
      <c r="E175" s="426" t="s">
        <v>264</v>
      </c>
      <c r="F175" s="383"/>
      <c r="G175" s="523"/>
      <c r="H175" s="383"/>
      <c r="I175" s="382"/>
      <c r="J175" s="382"/>
      <c r="K175" s="382"/>
      <c r="L175" s="1202"/>
      <c r="M175" s="1021"/>
      <c r="N175" s="1726" t="str">
        <f>КОФ_1200</f>
        <v>по запросу</v>
      </c>
      <c r="O175" s="219"/>
      <c r="P175" s="401"/>
      <c r="Q175" s="2"/>
      <c r="R175" s="33"/>
      <c r="S175" s="60"/>
      <c r="T175" s="60"/>
      <c r="U175" s="60"/>
      <c r="V175" s="60"/>
      <c r="W175" s="60"/>
    </row>
    <row r="176" spans="1:23" ht="16.5" customHeight="1" thickBot="1" x14ac:dyDescent="0.25">
      <c r="A176" s="808"/>
      <c r="B176" s="1033">
        <v>1400</v>
      </c>
      <c r="C176" s="1194" t="s">
        <v>645</v>
      </c>
      <c r="D176" s="1485" t="str">
        <f>УПР_1400ФСТ2</f>
        <v>по запросу</v>
      </c>
      <c r="E176" s="935" t="s">
        <v>970</v>
      </c>
      <c r="F176" s="888"/>
      <c r="G176" s="888"/>
      <c r="H176" s="888"/>
      <c r="I176" s="890"/>
      <c r="J176" s="890"/>
      <c r="K176" s="890"/>
      <c r="L176" s="1193"/>
      <c r="M176" s="1021"/>
      <c r="N176" s="1727" t="str">
        <f>КОФ_1400</f>
        <v>по запросу</v>
      </c>
      <c r="O176" s="219"/>
      <c r="P176" s="401"/>
      <c r="Q176" s="2"/>
      <c r="R176" s="33"/>
      <c r="S176" s="60"/>
      <c r="T176" s="60"/>
      <c r="U176" s="60"/>
      <c r="V176" s="60"/>
      <c r="W176" s="60"/>
    </row>
    <row r="177" spans="1:23" ht="7.5" customHeight="1" x14ac:dyDescent="0.2">
      <c r="A177" s="1"/>
      <c r="B177" s="388"/>
      <c r="C177" s="274"/>
      <c r="D177" s="389"/>
      <c r="E177" s="390"/>
      <c r="F177" s="230"/>
      <c r="G177" s="230"/>
      <c r="H177" s="230"/>
      <c r="I177" s="219"/>
      <c r="J177" s="219"/>
      <c r="K177" s="219"/>
      <c r="L177" s="219"/>
      <c r="M177" s="219"/>
      <c r="N177" s="219"/>
      <c r="O177" s="219"/>
      <c r="P177" s="401"/>
      <c r="Q177" s="2"/>
      <c r="R177" s="60"/>
      <c r="S177" s="60"/>
      <c r="T177" s="60"/>
      <c r="U177" s="60"/>
      <c r="V177" s="60"/>
      <c r="W177" s="60"/>
    </row>
    <row r="178" spans="1:23" ht="15" customHeight="1" x14ac:dyDescent="0.2">
      <c r="A178" s="1"/>
      <c r="B178" s="1"/>
      <c r="C178" s="230"/>
      <c r="D178" s="392"/>
      <c r="E178" s="2"/>
      <c r="F178" s="230"/>
      <c r="G178" s="230"/>
      <c r="H178" s="230"/>
      <c r="I178" s="219"/>
      <c r="J178" s="219"/>
      <c r="K178" s="219"/>
      <c r="L178" s="219"/>
      <c r="M178" s="219"/>
      <c r="N178" s="219"/>
      <c r="O178" s="219"/>
      <c r="P178" s="401"/>
      <c r="Q178" s="2"/>
      <c r="R178" s="602"/>
      <c r="S178" s="60"/>
      <c r="T178" s="60"/>
      <c r="U178" s="60"/>
      <c r="V178" s="60"/>
      <c r="W178" s="60"/>
    </row>
    <row r="179" spans="1:23" ht="15" customHeight="1" x14ac:dyDescent="0.2">
      <c r="A179" s="1"/>
      <c r="B179" s="1"/>
      <c r="C179" s="230"/>
      <c r="D179" s="392"/>
      <c r="E179" s="2"/>
      <c r="F179" s="230"/>
      <c r="G179" s="230"/>
      <c r="H179" s="230"/>
      <c r="I179" s="219"/>
      <c r="J179" s="219"/>
      <c r="K179" s="219"/>
      <c r="L179" s="219"/>
      <c r="M179" s="219"/>
      <c r="N179" s="219"/>
      <c r="O179" s="219"/>
      <c r="P179" s="401"/>
      <c r="Q179" s="2"/>
      <c r="R179" s="602"/>
      <c r="S179" s="60"/>
      <c r="T179" s="60"/>
      <c r="U179" s="60"/>
      <c r="V179" s="60"/>
      <c r="W179" s="60"/>
    </row>
    <row r="180" spans="1:23" ht="15" customHeight="1" x14ac:dyDescent="0.2">
      <c r="A180" s="1"/>
      <c r="B180" s="1"/>
      <c r="C180" s="230"/>
      <c r="D180" s="385"/>
      <c r="E180" s="480"/>
      <c r="F180" s="385"/>
      <c r="G180" s="385"/>
      <c r="H180" s="385"/>
      <c r="I180" s="386"/>
      <c r="J180" s="386"/>
      <c r="K180" s="386"/>
      <c r="L180" s="219"/>
      <c r="M180" s="219"/>
      <c r="N180" s="219"/>
      <c r="O180" s="219"/>
      <c r="P180" s="401"/>
      <c r="Q180" s="2"/>
      <c r="R180" s="602"/>
      <c r="S180" s="60"/>
      <c r="T180" s="60"/>
      <c r="U180" s="60"/>
      <c r="V180" s="60"/>
      <c r="W180" s="60"/>
    </row>
    <row r="181" spans="1:23" ht="15" customHeight="1" x14ac:dyDescent="0.25">
      <c r="A181" s="1"/>
      <c r="B181" s="1"/>
      <c r="C181" s="230"/>
      <c r="D181" s="478" t="s">
        <v>834</v>
      </c>
      <c r="E181" s="480"/>
      <c r="F181" s="385"/>
      <c r="G181" s="385"/>
      <c r="H181" s="385"/>
      <c r="I181" s="386"/>
      <c r="J181" s="386"/>
      <c r="K181" s="386"/>
      <c r="L181" s="219"/>
      <c r="M181" s="219"/>
      <c r="N181" s="219"/>
      <c r="O181" s="219"/>
      <c r="P181" s="401"/>
      <c r="Q181" s="2"/>
      <c r="R181" s="602"/>
      <c r="S181" s="60"/>
      <c r="T181" s="60"/>
      <c r="U181" s="60"/>
      <c r="V181" s="60"/>
      <c r="W181" s="60"/>
    </row>
    <row r="182" spans="1:23" ht="15" customHeight="1" thickBot="1" x14ac:dyDescent="0.25">
      <c r="A182" s="1"/>
      <c r="B182" s="1015"/>
      <c r="C182" s="888"/>
      <c r="D182" s="888"/>
      <c r="E182" s="1015"/>
      <c r="F182" s="888"/>
      <c r="G182" s="888"/>
      <c r="H182" s="888"/>
      <c r="I182" s="890"/>
      <c r="J182" s="890"/>
      <c r="K182" s="890"/>
      <c r="L182" s="890"/>
      <c r="M182" s="890"/>
      <c r="N182" s="890"/>
      <c r="O182" s="219"/>
      <c r="P182" s="401"/>
      <c r="Q182" s="2"/>
      <c r="R182" s="602"/>
      <c r="S182" s="60"/>
      <c r="T182" s="60"/>
      <c r="U182" s="60"/>
      <c r="V182" s="60"/>
      <c r="W182" s="60"/>
    </row>
    <row r="183" spans="1:23" ht="16.5" customHeight="1" x14ac:dyDescent="0.2">
      <c r="A183" s="808"/>
      <c r="B183" s="1059" t="s">
        <v>1313</v>
      </c>
      <c r="C183" s="1060" t="s">
        <v>700</v>
      </c>
      <c r="D183" s="1061"/>
      <c r="E183" s="977" t="s">
        <v>1064</v>
      </c>
      <c r="F183" s="1074"/>
      <c r="G183" s="977"/>
      <c r="H183" s="1062"/>
      <c r="I183" s="1062"/>
      <c r="J183" s="1062"/>
      <c r="K183" s="1063" t="s">
        <v>697</v>
      </c>
      <c r="L183" s="1063"/>
      <c r="M183" s="1064"/>
      <c r="N183" s="1065"/>
      <c r="O183" s="219"/>
      <c r="P183" s="401"/>
      <c r="Q183" s="2"/>
      <c r="R183" s="602"/>
      <c r="S183" s="60"/>
      <c r="T183" s="60"/>
      <c r="U183" s="60"/>
      <c r="V183" s="60"/>
      <c r="W183" s="60"/>
    </row>
    <row r="184" spans="1:23" ht="16.5" customHeight="1" x14ac:dyDescent="0.2">
      <c r="A184" s="808"/>
      <c r="B184" s="1219">
        <v>125</v>
      </c>
      <c r="C184" s="1178" t="s">
        <v>766</v>
      </c>
      <c r="D184" s="1180">
        <f>УПР_150БФСТ2</f>
        <v>44800</v>
      </c>
      <c r="E184" s="389" t="s">
        <v>768</v>
      </c>
      <c r="F184" s="1161"/>
      <c r="G184" s="377"/>
      <c r="H184" s="377"/>
      <c r="I184" s="377"/>
      <c r="J184" s="377"/>
      <c r="K184" s="1220"/>
      <c r="L184" s="431"/>
      <c r="M184" s="219"/>
      <c r="N184" s="1221"/>
      <c r="O184" s="219"/>
      <c r="P184" s="401"/>
      <c r="Q184" s="2"/>
      <c r="R184" s="602"/>
      <c r="S184" s="60"/>
      <c r="T184" s="60"/>
      <c r="U184" s="60"/>
      <c r="V184" s="60"/>
      <c r="W184" s="60"/>
    </row>
    <row r="185" spans="1:23" ht="16.5" customHeight="1" x14ac:dyDescent="0.2">
      <c r="A185" s="808"/>
      <c r="B185" s="1210">
        <v>150</v>
      </c>
      <c r="C185" s="1167" t="s">
        <v>767</v>
      </c>
      <c r="D185" s="1177">
        <f>УПР_150БФСТ2</f>
        <v>44800</v>
      </c>
      <c r="E185" s="426" t="s">
        <v>507</v>
      </c>
      <c r="F185" s="504"/>
      <c r="G185" s="241"/>
      <c r="H185" s="241"/>
      <c r="I185" s="241"/>
      <c r="J185" s="241"/>
      <c r="K185" s="241"/>
      <c r="L185" s="1211"/>
      <c r="M185" s="1212"/>
      <c r="N185" s="1213"/>
      <c r="O185" s="219"/>
      <c r="P185" s="401"/>
      <c r="Q185" s="2"/>
      <c r="R185" s="602"/>
      <c r="S185" s="60"/>
      <c r="T185" s="60"/>
      <c r="U185" s="60"/>
      <c r="V185" s="60"/>
      <c r="W185" s="60"/>
    </row>
    <row r="186" spans="1:23" ht="16.5" customHeight="1" x14ac:dyDescent="0.2">
      <c r="A186" s="808"/>
      <c r="B186" s="1219">
        <v>200</v>
      </c>
      <c r="C186" s="1162" t="s">
        <v>1192</v>
      </c>
      <c r="D186" s="1181">
        <f>УПР_200БФСТ2</f>
        <v>53620</v>
      </c>
      <c r="E186" s="389" t="s">
        <v>508</v>
      </c>
      <c r="F186" s="1161"/>
      <c r="G186" s="377"/>
      <c r="H186" s="377"/>
      <c r="I186" s="377"/>
      <c r="J186" s="377"/>
      <c r="K186" s="377"/>
      <c r="L186" s="1222"/>
      <c r="M186" s="1097"/>
      <c r="N186" s="1223"/>
      <c r="O186" s="219"/>
      <c r="P186" s="401"/>
      <c r="Q186" s="2"/>
      <c r="R186" s="33"/>
      <c r="S186" s="60"/>
      <c r="T186" s="60"/>
      <c r="U186" s="60"/>
      <c r="V186" s="60"/>
      <c r="W186" s="60"/>
    </row>
    <row r="187" spans="1:23" ht="16.5" customHeight="1" x14ac:dyDescent="0.2">
      <c r="A187" s="808"/>
      <c r="B187" s="1210">
        <v>250</v>
      </c>
      <c r="C187" s="1167" t="s">
        <v>1198</v>
      </c>
      <c r="D187" s="1177">
        <f>УПР_250БФСТ2</f>
        <v>91000</v>
      </c>
      <c r="E187" s="426" t="s">
        <v>509</v>
      </c>
      <c r="F187" s="504"/>
      <c r="G187" s="241"/>
      <c r="H187" s="241"/>
      <c r="I187" s="241"/>
      <c r="J187" s="241"/>
      <c r="K187" s="1200"/>
      <c r="L187" s="1156"/>
      <c r="M187" s="382"/>
      <c r="N187" s="1157"/>
      <c r="O187" s="219"/>
      <c r="P187" s="401"/>
      <c r="Q187" s="2"/>
      <c r="R187" s="593"/>
      <c r="S187" s="60"/>
      <c r="T187" s="60"/>
      <c r="U187" s="60"/>
      <c r="V187" s="60"/>
      <c r="W187" s="60"/>
    </row>
    <row r="188" spans="1:23" ht="16.5" customHeight="1" x14ac:dyDescent="0.2">
      <c r="A188" s="808"/>
      <c r="B188" s="1219">
        <v>300</v>
      </c>
      <c r="C188" s="1162" t="s">
        <v>1388</v>
      </c>
      <c r="D188" s="1181">
        <f>УПР_300БФСТ2</f>
        <v>100800</v>
      </c>
      <c r="E188" s="1183" t="s">
        <v>510</v>
      </c>
      <c r="F188" s="1161"/>
      <c r="G188" s="377"/>
      <c r="H188" s="1161"/>
      <c r="I188" s="377"/>
      <c r="J188" s="377"/>
      <c r="K188" s="377"/>
      <c r="L188" s="1224"/>
      <c r="M188" s="1097"/>
      <c r="N188" s="1225"/>
      <c r="O188" s="219"/>
      <c r="P188" s="401"/>
      <c r="Q188" s="2"/>
      <c r="R188" s="33"/>
      <c r="S188" s="60"/>
      <c r="T188" s="60"/>
      <c r="U188" s="60"/>
      <c r="V188" s="60"/>
      <c r="W188" s="60"/>
    </row>
    <row r="189" spans="1:23" ht="16.5" customHeight="1" x14ac:dyDescent="0.2">
      <c r="A189" s="808"/>
      <c r="B189" s="1210">
        <v>350</v>
      </c>
      <c r="C189" s="1167" t="s">
        <v>1389</v>
      </c>
      <c r="D189" s="1177">
        <f>УПР_350БФСТ2</f>
        <v>112000</v>
      </c>
      <c r="E189" s="540" t="s">
        <v>511</v>
      </c>
      <c r="F189" s="504"/>
      <c r="G189" s="241"/>
      <c r="H189" s="504"/>
      <c r="I189" s="241"/>
      <c r="J189" s="241"/>
      <c r="K189" s="1200"/>
      <c r="L189" s="1156"/>
      <c r="M189" s="382"/>
      <c r="N189" s="1157"/>
      <c r="O189" s="219"/>
      <c r="P189" s="401"/>
      <c r="Q189" s="2"/>
      <c r="R189" s="33"/>
      <c r="S189" s="60"/>
      <c r="T189" s="60"/>
      <c r="U189" s="60"/>
      <c r="V189" s="60"/>
      <c r="W189" s="60"/>
    </row>
    <row r="190" spans="1:23" ht="16.5" customHeight="1" x14ac:dyDescent="0.2">
      <c r="A190" s="808"/>
      <c r="B190" s="1219">
        <v>400</v>
      </c>
      <c r="C190" s="1162" t="s">
        <v>1390</v>
      </c>
      <c r="D190" s="1181">
        <f>УПР_400БФСТ2</f>
        <v>126000</v>
      </c>
      <c r="E190" s="389" t="s">
        <v>512</v>
      </c>
      <c r="F190" s="230"/>
      <c r="G190" s="230"/>
      <c r="H190" s="230"/>
      <c r="I190" s="219"/>
      <c r="J190" s="219"/>
      <c r="K190" s="219"/>
      <c r="L190" s="254"/>
      <c r="M190" s="1097"/>
      <c r="N190" s="1225"/>
      <c r="O190" s="219"/>
      <c r="P190" s="401"/>
      <c r="Q190" s="2"/>
      <c r="R190" s="33"/>
      <c r="S190" s="60"/>
      <c r="T190" s="60"/>
      <c r="U190" s="60"/>
      <c r="V190" s="60"/>
      <c r="W190" s="60"/>
    </row>
    <row r="191" spans="1:23" ht="16.5" customHeight="1" x14ac:dyDescent="0.2">
      <c r="A191" s="808"/>
      <c r="B191" s="1210">
        <v>500</v>
      </c>
      <c r="C191" s="1167" t="s">
        <v>1391</v>
      </c>
      <c r="D191" s="1177">
        <f>УПР_500БФСТ2</f>
        <v>189000</v>
      </c>
      <c r="E191" s="540" t="s">
        <v>513</v>
      </c>
      <c r="F191" s="523"/>
      <c r="G191" s="383"/>
      <c r="H191" s="523"/>
      <c r="I191" s="382"/>
      <c r="J191" s="382"/>
      <c r="K191" s="382"/>
      <c r="L191" s="1214"/>
      <c r="M191" s="382"/>
      <c r="N191" s="1157"/>
      <c r="O191" s="219"/>
      <c r="P191" s="401"/>
      <c r="Q191" s="2"/>
      <c r="R191" s="60"/>
      <c r="S191" s="60"/>
      <c r="T191" s="60"/>
      <c r="U191" s="60"/>
      <c r="V191" s="60"/>
      <c r="W191" s="60"/>
    </row>
    <row r="192" spans="1:23" ht="16.5" customHeight="1" x14ac:dyDescent="0.2">
      <c r="A192" s="808"/>
      <c r="B192" s="1219">
        <v>600</v>
      </c>
      <c r="C192" s="1162" t="s">
        <v>1097</v>
      </c>
      <c r="D192" s="1181">
        <f>УПР_600БФСТ2</f>
        <v>266000</v>
      </c>
      <c r="E192" s="1183" t="s">
        <v>514</v>
      </c>
      <c r="F192" s="1174"/>
      <c r="G192" s="230"/>
      <c r="H192" s="1174"/>
      <c r="I192" s="219"/>
      <c r="J192" s="219"/>
      <c r="K192" s="219"/>
      <c r="L192" s="1224"/>
      <c r="M192" s="1097"/>
      <c r="N192" s="1225"/>
      <c r="O192" s="219"/>
      <c r="P192" s="401"/>
      <c r="Q192" s="2"/>
      <c r="R192" s="33"/>
      <c r="S192" s="60"/>
      <c r="T192" s="60"/>
      <c r="U192" s="60"/>
      <c r="V192" s="60"/>
      <c r="W192" s="60"/>
    </row>
    <row r="193" spans="1:23" ht="16.5" customHeight="1" x14ac:dyDescent="0.2">
      <c r="A193" s="808"/>
      <c r="B193" s="1210">
        <v>700</v>
      </c>
      <c r="C193" s="1167" t="s">
        <v>221</v>
      </c>
      <c r="D193" s="1177">
        <f>УПР_700БФСТ2</f>
        <v>310800</v>
      </c>
      <c r="E193" s="426" t="s">
        <v>515</v>
      </c>
      <c r="F193" s="523"/>
      <c r="G193" s="383"/>
      <c r="H193" s="383"/>
      <c r="I193" s="382"/>
      <c r="J193" s="382"/>
      <c r="K193" s="382"/>
      <c r="L193" s="1214"/>
      <c r="M193" s="382"/>
      <c r="N193" s="1157"/>
      <c r="O193" s="219"/>
      <c r="P193" s="401"/>
      <c r="Q193" s="2"/>
      <c r="R193" s="33"/>
      <c r="S193" s="60"/>
      <c r="T193" s="60"/>
      <c r="U193" s="60"/>
      <c r="V193" s="60"/>
      <c r="W193" s="60"/>
    </row>
    <row r="194" spans="1:23" ht="16.5" customHeight="1" x14ac:dyDescent="0.2">
      <c r="A194" s="808"/>
      <c r="B194" s="1219">
        <v>800</v>
      </c>
      <c r="C194" s="1162" t="s">
        <v>222</v>
      </c>
      <c r="D194" s="1181">
        <f>УПР_800БФСТ2</f>
        <v>350000</v>
      </c>
      <c r="E194" s="389" t="s">
        <v>516</v>
      </c>
      <c r="F194" s="1174"/>
      <c r="G194" s="1173"/>
      <c r="H194" s="230"/>
      <c r="I194" s="219"/>
      <c r="J194" s="219"/>
      <c r="K194" s="219"/>
      <c r="L194" s="1224"/>
      <c r="M194" s="1097"/>
      <c r="N194" s="1225"/>
      <c r="O194" s="219"/>
      <c r="P194" s="401"/>
      <c r="Q194" s="2"/>
      <c r="R194" s="60"/>
      <c r="S194" s="60"/>
      <c r="T194" s="60"/>
      <c r="U194" s="60"/>
      <c r="V194" s="60"/>
      <c r="W194" s="60"/>
    </row>
    <row r="195" spans="1:23" ht="16.5" customHeight="1" x14ac:dyDescent="0.2">
      <c r="A195" s="808"/>
      <c r="B195" s="1210">
        <v>900</v>
      </c>
      <c r="C195" s="1167" t="s">
        <v>223</v>
      </c>
      <c r="D195" s="1177">
        <f>УПР_900БФСТ2</f>
        <v>525000</v>
      </c>
      <c r="E195" s="426" t="s">
        <v>836</v>
      </c>
      <c r="F195" s="383"/>
      <c r="G195" s="383"/>
      <c r="H195" s="383"/>
      <c r="I195" s="382"/>
      <c r="J195" s="382"/>
      <c r="K195" s="382"/>
      <c r="L195" s="1214"/>
      <c r="M195" s="382"/>
      <c r="N195" s="1157"/>
      <c r="O195" s="219"/>
      <c r="P195" s="401"/>
      <c r="Q195" s="2"/>
      <c r="R195" s="33"/>
      <c r="S195" s="60"/>
      <c r="T195" s="60"/>
      <c r="U195" s="60"/>
      <c r="V195" s="60"/>
      <c r="W195" s="60"/>
    </row>
    <row r="196" spans="1:23" ht="16.5" customHeight="1" x14ac:dyDescent="0.2">
      <c r="A196" s="808"/>
      <c r="B196" s="1219">
        <v>1000</v>
      </c>
      <c r="C196" s="1162" t="s">
        <v>224</v>
      </c>
      <c r="D196" s="1181">
        <f>УПР_1000БФСТ2</f>
        <v>588000</v>
      </c>
      <c r="E196" s="389" t="s">
        <v>662</v>
      </c>
      <c r="F196" s="230"/>
      <c r="G196" s="230"/>
      <c r="H196" s="230"/>
      <c r="I196" s="219"/>
      <c r="J196" s="219"/>
      <c r="K196" s="1207"/>
      <c r="L196" s="1224"/>
      <c r="M196" s="1097"/>
      <c r="N196" s="1225"/>
      <c r="O196" s="219"/>
      <c r="P196" s="401"/>
      <c r="Q196" s="2"/>
      <c r="R196" s="33"/>
      <c r="S196" s="60"/>
      <c r="T196" s="60"/>
      <c r="U196" s="60"/>
      <c r="V196" s="60"/>
      <c r="W196" s="60"/>
    </row>
    <row r="197" spans="1:23" ht="16.5" customHeight="1" x14ac:dyDescent="0.2">
      <c r="A197" s="808"/>
      <c r="B197" s="1210">
        <v>1200</v>
      </c>
      <c r="C197" s="1167" t="s">
        <v>225</v>
      </c>
      <c r="D197" s="1483" t="str">
        <f>УПР_1200БФСТ2</f>
        <v>по запросу</v>
      </c>
      <c r="E197" s="426" t="s">
        <v>1290</v>
      </c>
      <c r="F197" s="383"/>
      <c r="G197" s="523"/>
      <c r="H197" s="383"/>
      <c r="I197" s="382"/>
      <c r="J197" s="382"/>
      <c r="K197" s="1201"/>
      <c r="L197" s="1215"/>
      <c r="M197" s="382"/>
      <c r="N197" s="1188"/>
      <c r="O197" s="219"/>
      <c r="P197" s="401"/>
      <c r="Q197" s="2"/>
      <c r="R197" s="33"/>
      <c r="S197" s="60"/>
      <c r="T197" s="60"/>
      <c r="U197" s="60"/>
      <c r="V197" s="60"/>
      <c r="W197" s="60"/>
    </row>
    <row r="198" spans="1:23" ht="16.5" customHeight="1" x14ac:dyDescent="0.2">
      <c r="A198" s="808"/>
      <c r="B198" s="1219">
        <v>1400</v>
      </c>
      <c r="C198" s="1162" t="s">
        <v>769</v>
      </c>
      <c r="D198" s="1484" t="str">
        <f>УПР_1400БФСТ2</f>
        <v>по запросу</v>
      </c>
      <c r="E198" s="389" t="s">
        <v>1291</v>
      </c>
      <c r="F198" s="230"/>
      <c r="G198" s="1174"/>
      <c r="H198" s="230"/>
      <c r="I198" s="219"/>
      <c r="J198" s="219"/>
      <c r="K198" s="1226"/>
      <c r="L198" s="391"/>
      <c r="M198" s="219"/>
      <c r="N198" s="1227"/>
      <c r="O198" s="219"/>
      <c r="P198" s="401"/>
      <c r="Q198" s="2"/>
      <c r="R198" s="33"/>
      <c r="S198" s="60"/>
      <c r="T198" s="60"/>
      <c r="U198" s="60"/>
      <c r="V198" s="60"/>
      <c r="W198" s="60"/>
    </row>
    <row r="199" spans="1:23" ht="16.5" customHeight="1" thickBot="1" x14ac:dyDescent="0.25">
      <c r="A199" s="808"/>
      <c r="B199" s="1216">
        <v>1600</v>
      </c>
      <c r="C199" s="1182" t="s">
        <v>770</v>
      </c>
      <c r="D199" s="1482" t="s">
        <v>1098</v>
      </c>
      <c r="E199" s="1184" t="s">
        <v>771</v>
      </c>
      <c r="F199" s="990"/>
      <c r="G199" s="990"/>
      <c r="H199" s="990"/>
      <c r="I199" s="991"/>
      <c r="J199" s="991"/>
      <c r="K199" s="1217"/>
      <c r="L199" s="1218"/>
      <c r="M199" s="991"/>
      <c r="N199" s="1203"/>
      <c r="O199" s="219"/>
      <c r="P199" s="401"/>
      <c r="Q199" s="2"/>
      <c r="R199" s="33"/>
      <c r="S199" s="60"/>
      <c r="T199" s="60"/>
      <c r="U199" s="60"/>
      <c r="V199" s="60"/>
      <c r="W199" s="60"/>
    </row>
    <row r="200" spans="1:23" ht="15" customHeight="1" x14ac:dyDescent="0.2">
      <c r="A200" s="1"/>
      <c r="B200" s="388"/>
      <c r="C200" s="274"/>
      <c r="D200" s="389"/>
      <c r="E200" s="390"/>
      <c r="F200" s="230"/>
      <c r="G200" s="230"/>
      <c r="H200" s="230"/>
      <c r="I200" s="219"/>
      <c r="J200" s="219"/>
      <c r="K200" s="219"/>
      <c r="L200" s="219"/>
      <c r="M200" s="219"/>
      <c r="N200" s="219"/>
      <c r="O200" s="219"/>
      <c r="P200" s="401"/>
      <c r="Q200" s="2"/>
      <c r="R200" s="60"/>
      <c r="S200" s="60"/>
      <c r="T200" s="60"/>
      <c r="U200" s="60"/>
      <c r="V200" s="60"/>
      <c r="W200" s="60"/>
    </row>
    <row r="201" spans="1:23" ht="15" customHeight="1" x14ac:dyDescent="0.2">
      <c r="A201" s="1"/>
      <c r="B201" s="388"/>
      <c r="C201" s="274"/>
      <c r="D201" s="387"/>
      <c r="E201" s="384"/>
      <c r="F201" s="385"/>
      <c r="G201" s="385"/>
      <c r="H201" s="385"/>
      <c r="I201" s="219"/>
      <c r="J201" s="219"/>
      <c r="K201" s="219"/>
      <c r="L201" s="219"/>
      <c r="M201" s="219"/>
      <c r="N201" s="219"/>
      <c r="O201" s="219"/>
      <c r="P201" s="401"/>
      <c r="Q201" s="2"/>
      <c r="R201" s="33"/>
      <c r="S201" s="60"/>
      <c r="T201" s="60"/>
      <c r="U201" s="60"/>
      <c r="V201" s="60"/>
      <c r="W201" s="60"/>
    </row>
    <row r="202" spans="1:23" ht="15" customHeight="1" x14ac:dyDescent="0.25">
      <c r="A202" s="1"/>
      <c r="B202" s="388"/>
      <c r="C202" s="274"/>
      <c r="D202" s="478" t="s">
        <v>1070</v>
      </c>
      <c r="E202" s="384"/>
      <c r="F202" s="385"/>
      <c r="G202" s="385"/>
      <c r="H202" s="385"/>
      <c r="I202" s="219"/>
      <c r="J202" s="219"/>
      <c r="K202" s="219"/>
      <c r="L202" s="219"/>
      <c r="M202" s="219"/>
      <c r="N202" s="219"/>
      <c r="O202" s="219"/>
      <c r="P202" s="401"/>
      <c r="Q202" s="2"/>
      <c r="R202" s="33"/>
      <c r="S202" s="60"/>
      <c r="T202" s="60"/>
      <c r="U202" s="60"/>
      <c r="V202" s="60"/>
      <c r="W202" s="60"/>
    </row>
    <row r="203" spans="1:23" ht="15" customHeight="1" thickBot="1" x14ac:dyDescent="0.25">
      <c r="A203" s="1"/>
      <c r="B203" s="937"/>
      <c r="C203" s="946"/>
      <c r="D203" s="897"/>
      <c r="E203" s="987"/>
      <c r="F203" s="888"/>
      <c r="G203" s="888"/>
      <c r="H203" s="888"/>
      <c r="I203" s="890"/>
      <c r="J203" s="890"/>
      <c r="K203" s="890"/>
      <c r="L203" s="890"/>
      <c r="M203" s="890"/>
      <c r="N203" s="890"/>
      <c r="O203" s="219"/>
      <c r="P203" s="401"/>
      <c r="Q203" s="2"/>
      <c r="R203" s="60"/>
      <c r="S203" s="60"/>
      <c r="T203" s="60"/>
      <c r="U203" s="60"/>
      <c r="V203" s="60"/>
      <c r="W203" s="60"/>
    </row>
    <row r="204" spans="1:23" ht="16.5" customHeight="1" x14ac:dyDescent="0.2">
      <c r="A204" s="808"/>
      <c r="B204" s="1059" t="s">
        <v>1313</v>
      </c>
      <c r="C204" s="1060" t="s">
        <v>700</v>
      </c>
      <c r="D204" s="1073"/>
      <c r="E204" s="908" t="s">
        <v>1066</v>
      </c>
      <c r="F204" s="1074"/>
      <c r="G204" s="977"/>
      <c r="H204" s="1062"/>
      <c r="I204" s="1062"/>
      <c r="J204" s="1062"/>
      <c r="K204" s="1063" t="s">
        <v>697</v>
      </c>
      <c r="L204" s="1063"/>
      <c r="M204" s="1064"/>
      <c r="N204" s="1065"/>
      <c r="O204" s="219"/>
      <c r="P204" s="401"/>
      <c r="Q204" s="2"/>
      <c r="R204" s="33"/>
      <c r="S204" s="60"/>
      <c r="T204" s="60"/>
      <c r="U204" s="60"/>
      <c r="V204" s="60"/>
      <c r="W204" s="60"/>
    </row>
    <row r="205" spans="1:23" ht="16.5" customHeight="1" x14ac:dyDescent="0.2">
      <c r="A205" s="808"/>
      <c r="B205" s="1487"/>
      <c r="C205" s="510"/>
      <c r="D205" s="1488"/>
      <c r="E205" s="1489" t="s">
        <v>489</v>
      </c>
      <c r="F205" s="1490"/>
      <c r="G205" s="426"/>
      <c r="H205" s="426"/>
      <c r="I205" s="426"/>
      <c r="J205" s="426"/>
      <c r="K205" s="1488"/>
      <c r="L205" s="1491"/>
      <c r="M205" s="382"/>
      <c r="N205" s="865"/>
      <c r="O205" s="219"/>
      <c r="P205" s="401"/>
      <c r="Q205" s="2"/>
      <c r="R205" s="33"/>
      <c r="S205" s="60"/>
      <c r="T205" s="60"/>
      <c r="U205" s="60"/>
      <c r="V205" s="60"/>
      <c r="W205" s="60"/>
    </row>
    <row r="206" spans="1:23" ht="16.5" customHeight="1" x14ac:dyDescent="0.2">
      <c r="A206" s="808"/>
      <c r="B206" s="1049" t="s">
        <v>835</v>
      </c>
      <c r="C206" s="1249" t="s">
        <v>148</v>
      </c>
      <c r="D206" s="1251" t="str">
        <f>КМЧ800_2</f>
        <v>5250 /луч</v>
      </c>
      <c r="E206" s="548" t="s">
        <v>1435</v>
      </c>
      <c r="F206" s="549"/>
      <c r="G206" s="544"/>
      <c r="H206" s="545"/>
      <c r="I206" s="545"/>
      <c r="J206" s="545"/>
      <c r="K206" s="545"/>
      <c r="L206" s="546"/>
      <c r="M206" s="547"/>
      <c r="N206" s="1031"/>
      <c r="O206" s="219"/>
      <c r="P206" s="401"/>
      <c r="Q206" s="2"/>
      <c r="R206" s="60"/>
      <c r="S206" s="60"/>
      <c r="T206" s="60"/>
      <c r="U206" s="60"/>
      <c r="V206" s="60"/>
      <c r="W206" s="60"/>
    </row>
    <row r="207" spans="1:23" ht="16.5" customHeight="1" thickBot="1" x14ac:dyDescent="0.25">
      <c r="A207" s="808"/>
      <c r="B207" s="1050">
        <v>2000</v>
      </c>
      <c r="C207" s="1250" t="s">
        <v>536</v>
      </c>
      <c r="D207" s="1252" t="str">
        <f>ПЭП34</f>
        <v>10500 /луч</v>
      </c>
      <c r="E207" s="1048" t="s">
        <v>1436</v>
      </c>
      <c r="F207" s="1037"/>
      <c r="G207" s="1038"/>
      <c r="H207" s="1039"/>
      <c r="I207" s="1040"/>
      <c r="J207" s="1040"/>
      <c r="K207" s="1040"/>
      <c r="L207" s="1041"/>
      <c r="M207" s="1042"/>
      <c r="N207" s="1043"/>
      <c r="O207" s="219"/>
      <c r="P207" s="401"/>
      <c r="Q207" s="2"/>
      <c r="R207" s="33"/>
      <c r="S207" s="60"/>
      <c r="T207" s="60"/>
      <c r="U207" s="60"/>
      <c r="V207" s="60"/>
      <c r="W207" s="60"/>
    </row>
    <row r="208" spans="1:23" ht="15" customHeight="1" x14ac:dyDescent="0.2">
      <c r="A208" s="1"/>
      <c r="B208" s="388"/>
      <c r="C208" s="274"/>
      <c r="D208" s="1047"/>
      <c r="E208" s="469"/>
      <c r="F208" s="230"/>
      <c r="G208" s="230"/>
      <c r="H208" s="230"/>
      <c r="I208" s="219"/>
      <c r="J208" s="219"/>
      <c r="K208" s="219"/>
      <c r="L208" s="219"/>
      <c r="M208" s="219"/>
      <c r="N208" s="219"/>
      <c r="O208" s="219"/>
      <c r="P208" s="401"/>
      <c r="Q208" s="2"/>
      <c r="R208" s="60"/>
      <c r="S208" s="60"/>
      <c r="T208" s="60"/>
      <c r="U208" s="60"/>
      <c r="V208" s="60"/>
      <c r="W208" s="60"/>
    </row>
    <row r="209" spans="1:23" ht="30" customHeight="1" thickBot="1" x14ac:dyDescent="0.25">
      <c r="A209" s="1"/>
      <c r="B209" s="1335" t="s">
        <v>2</v>
      </c>
      <c r="C209" s="1336"/>
      <c r="D209" s="1337"/>
      <c r="E209" s="1338"/>
      <c r="F209" s="1338"/>
      <c r="G209" s="1339" t="s">
        <v>1333</v>
      </c>
      <c r="H209" s="1338"/>
      <c r="I209" s="1340"/>
      <c r="J209" s="1341"/>
      <c r="K209" s="1341"/>
      <c r="L209" s="1341"/>
      <c r="M209" s="1341"/>
      <c r="N209" s="1342"/>
      <c r="O209" s="219"/>
      <c r="P209" s="401"/>
      <c r="Q209" s="2"/>
      <c r="R209" s="602"/>
      <c r="S209" s="60"/>
      <c r="T209" s="60"/>
      <c r="U209" s="60"/>
      <c r="V209" s="60"/>
      <c r="W209" s="60"/>
    </row>
    <row r="210" spans="1:23" ht="16.5" customHeight="1" thickTop="1" x14ac:dyDescent="0.2">
      <c r="A210" s="1277"/>
      <c r="B210" s="1101" t="s">
        <v>701</v>
      </c>
      <c r="C210" s="1107"/>
      <c r="D210" s="922"/>
      <c r="E210" s="1103" t="s">
        <v>1067</v>
      </c>
      <c r="F210" s="1104"/>
      <c r="G210" s="1104"/>
      <c r="H210" s="1104"/>
      <c r="I210" s="1105"/>
      <c r="J210" s="1105"/>
      <c r="K210" s="1105"/>
      <c r="L210" s="1106"/>
      <c r="M210" s="1105"/>
      <c r="N210" s="1329"/>
      <c r="O210" s="219"/>
      <c r="P210" s="401"/>
      <c r="Q210" s="2"/>
      <c r="R210" s="602"/>
      <c r="S210" s="60"/>
      <c r="T210" s="60"/>
      <c r="U210" s="60"/>
      <c r="V210" s="60"/>
      <c r="W210" s="60"/>
    </row>
    <row r="211" spans="1:23" ht="16.5" customHeight="1" x14ac:dyDescent="0.2">
      <c r="A211" s="1277"/>
      <c r="B211" s="393" t="s">
        <v>558</v>
      </c>
      <c r="C211" s="1351"/>
      <c r="D211" s="1180" t="str">
        <f>Опц_IP68</f>
        <v>8400 /луч</v>
      </c>
      <c r="E211" s="1352" t="s">
        <v>3</v>
      </c>
      <c r="F211" s="1353"/>
      <c r="G211" s="1353"/>
      <c r="H211" s="1353"/>
      <c r="I211" s="1238"/>
      <c r="J211" s="1238"/>
      <c r="K211" s="1238"/>
      <c r="L211" s="1354"/>
      <c r="M211" s="1354"/>
      <c r="N211" s="1355"/>
      <c r="O211" s="219"/>
      <c r="P211" s="401"/>
      <c r="Q211" s="2"/>
      <c r="R211" s="33"/>
      <c r="S211" s="60"/>
      <c r="T211" s="60"/>
      <c r="U211" s="60"/>
      <c r="V211" s="60"/>
      <c r="W211" s="60"/>
    </row>
    <row r="212" spans="1:23" ht="23.25" customHeight="1" x14ac:dyDescent="0.2">
      <c r="A212" s="1277"/>
      <c r="B212" s="900" t="s">
        <v>557</v>
      </c>
      <c r="C212" s="1332"/>
      <c r="D212" s="1177" t="str">
        <f>Опц_ПЭПУ</f>
        <v>2800 /луч</v>
      </c>
      <c r="E212" s="1879" t="s">
        <v>361</v>
      </c>
      <c r="F212" s="1904"/>
      <c r="G212" s="1904"/>
      <c r="H212" s="1904"/>
      <c r="I212" s="1904"/>
      <c r="J212" s="1904"/>
      <c r="K212" s="1904"/>
      <c r="L212" s="1904"/>
      <c r="M212" s="1904"/>
      <c r="N212" s="1947"/>
      <c r="O212" s="219"/>
      <c r="P212" s="401"/>
      <c r="Q212" s="2"/>
      <c r="R212" s="60"/>
      <c r="S212" s="60"/>
      <c r="T212" s="60"/>
      <c r="U212" s="60"/>
      <c r="V212" s="60"/>
      <c r="W212" s="60"/>
    </row>
    <row r="213" spans="1:23" ht="23.25" customHeight="1" x14ac:dyDescent="0.2">
      <c r="A213" s="1277"/>
      <c r="B213" s="393" t="s">
        <v>1107</v>
      </c>
      <c r="C213" s="1255"/>
      <c r="D213" s="1181" t="str">
        <f>Опц_IP68У</f>
        <v>11200 /луч</v>
      </c>
      <c r="E213" s="1885" t="s">
        <v>362</v>
      </c>
      <c r="F213" s="1948"/>
      <c r="G213" s="1948"/>
      <c r="H213" s="1948"/>
      <c r="I213" s="1948"/>
      <c r="J213" s="1948"/>
      <c r="K213" s="1948"/>
      <c r="L213" s="1948"/>
      <c r="M213" s="1948"/>
      <c r="N213" s="1949"/>
      <c r="O213" s="219"/>
      <c r="P213" s="401"/>
      <c r="Q213" s="2"/>
      <c r="R213" s="33"/>
      <c r="S213" s="60"/>
      <c r="T213" s="60"/>
      <c r="U213" s="60"/>
      <c r="V213" s="60"/>
      <c r="W213" s="60"/>
    </row>
    <row r="214" spans="1:23" ht="16.5" customHeight="1" x14ac:dyDescent="0.2">
      <c r="A214" s="1277"/>
      <c r="B214" s="900" t="s">
        <v>559</v>
      </c>
      <c r="C214" s="1332"/>
      <c r="D214" s="1177" t="str">
        <f>Опц_200</f>
        <v>16800 /луч</v>
      </c>
      <c r="E214" s="1333" t="s">
        <v>274</v>
      </c>
      <c r="F214" s="383"/>
      <c r="G214" s="383"/>
      <c r="H214" s="383"/>
      <c r="I214" s="382"/>
      <c r="J214" s="382"/>
      <c r="K214" s="382"/>
      <c r="L214" s="382"/>
      <c r="M214" s="382"/>
      <c r="N214" s="1343"/>
      <c r="O214" s="219"/>
      <c r="P214" s="401"/>
      <c r="Q214" s="2"/>
      <c r="R214" s="33"/>
      <c r="S214" s="60"/>
      <c r="T214" s="60"/>
      <c r="U214" s="60"/>
      <c r="V214" s="60"/>
      <c r="W214" s="60"/>
    </row>
    <row r="215" spans="1:23" ht="16.5" customHeight="1" x14ac:dyDescent="0.2">
      <c r="A215" s="1277"/>
      <c r="B215" s="393" t="s">
        <v>525</v>
      </c>
      <c r="C215" s="1255"/>
      <c r="D215" s="1181" t="str">
        <f>Опц_200_68</f>
        <v>28000 /луч</v>
      </c>
      <c r="E215" s="1356" t="s">
        <v>526</v>
      </c>
      <c r="F215" s="230"/>
      <c r="G215" s="230"/>
      <c r="H215" s="230"/>
      <c r="I215" s="219"/>
      <c r="J215" s="219"/>
      <c r="K215" s="219"/>
      <c r="L215" s="219"/>
      <c r="M215" s="219"/>
      <c r="N215" s="1357"/>
      <c r="O215" s="219"/>
      <c r="P215" s="401"/>
      <c r="Q215" s="2"/>
      <c r="R215" s="33"/>
      <c r="S215" s="60"/>
      <c r="T215" s="60"/>
      <c r="U215" s="60"/>
      <c r="V215" s="60"/>
      <c r="W215" s="60"/>
    </row>
    <row r="216" spans="1:23" ht="16.5" customHeight="1" x14ac:dyDescent="0.2">
      <c r="A216" s="1277"/>
      <c r="B216" s="900" t="s">
        <v>797</v>
      </c>
      <c r="C216" s="1332"/>
      <c r="D216" s="1177" t="str">
        <f>Опц_220</f>
        <v>35000 /луч</v>
      </c>
      <c r="E216" s="1333" t="s">
        <v>798</v>
      </c>
      <c r="F216" s="383"/>
      <c r="G216" s="383"/>
      <c r="H216" s="383"/>
      <c r="I216" s="382"/>
      <c r="J216" s="382"/>
      <c r="K216" s="382"/>
      <c r="L216" s="382"/>
      <c r="M216" s="382"/>
      <c r="N216" s="1343"/>
      <c r="O216" s="219"/>
      <c r="P216" s="401"/>
      <c r="Q216" s="2"/>
      <c r="R216" s="33"/>
      <c r="S216" s="60"/>
      <c r="T216" s="60"/>
      <c r="U216" s="60"/>
      <c r="V216" s="60"/>
      <c r="W216" s="60"/>
    </row>
    <row r="217" spans="1:23" ht="16.5" customHeight="1" x14ac:dyDescent="0.2">
      <c r="A217" s="1277"/>
      <c r="B217" s="393" t="s">
        <v>1431</v>
      </c>
      <c r="C217" s="1255"/>
      <c r="D217" s="1181" t="str">
        <f>Опц_ПП212</f>
        <v>16800 /луч</v>
      </c>
      <c r="E217" s="1356" t="s">
        <v>371</v>
      </c>
      <c r="F217" s="230"/>
      <c r="G217" s="230"/>
      <c r="H217" s="230"/>
      <c r="I217" s="219"/>
      <c r="J217" s="219"/>
      <c r="K217" s="219"/>
      <c r="L217" s="219"/>
      <c r="M217" s="1358"/>
      <c r="N217" s="1357"/>
      <c r="O217" s="219"/>
      <c r="P217" s="401"/>
      <c r="Q217" s="2"/>
      <c r="R217" s="33"/>
      <c r="S217" s="60"/>
      <c r="T217" s="60"/>
      <c r="U217" s="60"/>
      <c r="V217" s="60"/>
      <c r="W217" s="60"/>
    </row>
    <row r="218" spans="1:23" ht="16.5" customHeight="1" x14ac:dyDescent="0.2">
      <c r="A218" s="1277"/>
      <c r="B218" s="900" t="s">
        <v>1432</v>
      </c>
      <c r="C218" s="1332"/>
      <c r="D218" s="1177" t="str">
        <f>Опц_ПП212_68</f>
        <v>28000 /луч</v>
      </c>
      <c r="E218" s="1333" t="s">
        <v>372</v>
      </c>
      <c r="F218" s="383"/>
      <c r="G218" s="383"/>
      <c r="H218" s="383"/>
      <c r="I218" s="382"/>
      <c r="J218" s="382"/>
      <c r="K218" s="382"/>
      <c r="L218" s="382"/>
      <c r="M218" s="382"/>
      <c r="N218" s="1343"/>
      <c r="O218" s="219"/>
      <c r="P218" s="401"/>
      <c r="Q218" s="2"/>
      <c r="R218" s="60"/>
      <c r="S218" s="60"/>
      <c r="T218" s="60"/>
      <c r="U218" s="60"/>
      <c r="V218" s="60"/>
      <c r="W218" s="60"/>
    </row>
    <row r="219" spans="1:23" ht="16.5" customHeight="1" x14ac:dyDescent="0.2">
      <c r="A219" s="1277"/>
      <c r="B219" s="393" t="s">
        <v>729</v>
      </c>
      <c r="C219" s="1255"/>
      <c r="D219" s="1181" t="str">
        <f>Опц_ПЭПФ</f>
        <v>21000 /луч</v>
      </c>
      <c r="E219" s="1356" t="s">
        <v>730</v>
      </c>
      <c r="F219" s="230"/>
      <c r="G219" s="230"/>
      <c r="H219" s="230"/>
      <c r="I219" s="219"/>
      <c r="J219" s="219"/>
      <c r="K219" s="219"/>
      <c r="L219" s="219"/>
      <c r="M219" s="219"/>
      <c r="N219" s="1357"/>
      <c r="O219" s="219"/>
      <c r="P219" s="401"/>
      <c r="Q219" s="2"/>
      <c r="R219" s="33"/>
      <c r="S219" s="60"/>
      <c r="T219" s="60"/>
      <c r="U219" s="60"/>
      <c r="V219" s="60"/>
      <c r="W219" s="60"/>
    </row>
    <row r="220" spans="1:23" ht="16.5" customHeight="1" x14ac:dyDescent="0.2">
      <c r="A220" s="1277"/>
      <c r="B220" s="900" t="s">
        <v>146</v>
      </c>
      <c r="C220" s="1332"/>
      <c r="D220" s="1177" t="str">
        <f>Опц_ШК</f>
        <v>21000 /луч</v>
      </c>
      <c r="E220" s="1334" t="s">
        <v>88</v>
      </c>
      <c r="F220" s="383"/>
      <c r="G220" s="383"/>
      <c r="H220" s="383"/>
      <c r="I220" s="382"/>
      <c r="J220" s="382"/>
      <c r="K220" s="382"/>
      <c r="L220" s="382"/>
      <c r="M220" s="382"/>
      <c r="N220" s="1343"/>
      <c r="O220" s="219"/>
      <c r="P220" s="401"/>
      <c r="Q220" s="2"/>
      <c r="R220" s="60"/>
      <c r="S220" s="60"/>
      <c r="T220" s="60"/>
      <c r="U220" s="60"/>
      <c r="V220" s="60"/>
      <c r="W220" s="60"/>
    </row>
    <row r="221" spans="1:23" ht="30.75" customHeight="1" x14ac:dyDescent="0.2">
      <c r="A221" s="1277"/>
      <c r="B221" s="1943" t="s">
        <v>799</v>
      </c>
      <c r="C221" s="1944"/>
      <c r="D221" s="1480" t="str">
        <f>Опц_давлен</f>
        <v>по запросу</v>
      </c>
      <c r="E221" s="1945" t="s">
        <v>800</v>
      </c>
      <c r="F221" s="1946"/>
      <c r="G221" s="1946"/>
      <c r="H221" s="1946"/>
      <c r="I221" s="1946"/>
      <c r="J221" s="1946"/>
      <c r="K221" s="1946"/>
      <c r="L221" s="1946"/>
      <c r="M221" s="1946"/>
      <c r="N221" s="1930"/>
      <c r="O221" s="219"/>
      <c r="P221" s="401"/>
      <c r="Q221" s="2"/>
      <c r="R221" s="33"/>
      <c r="S221" s="60"/>
      <c r="T221" s="60"/>
      <c r="U221" s="60"/>
      <c r="V221" s="60"/>
      <c r="W221" s="60"/>
    </row>
    <row r="222" spans="1:23" ht="16.5" customHeight="1" thickBot="1" x14ac:dyDescent="0.25">
      <c r="A222" s="1277"/>
      <c r="B222" s="1344" t="s">
        <v>149</v>
      </c>
      <c r="C222" s="1345"/>
      <c r="D222" s="1346" t="str">
        <f>Опц_поверкаR</f>
        <v>7000 /луч</v>
      </c>
      <c r="E222" s="1347" t="s">
        <v>731</v>
      </c>
      <c r="F222" s="1348"/>
      <c r="G222" s="1348"/>
      <c r="H222" s="1348"/>
      <c r="I222" s="1349"/>
      <c r="J222" s="1349"/>
      <c r="K222" s="1349"/>
      <c r="L222" s="1349"/>
      <c r="M222" s="1349"/>
      <c r="N222" s="1350"/>
      <c r="O222" s="219"/>
      <c r="P222" s="401"/>
      <c r="Q222" s="2"/>
      <c r="R222" s="33"/>
      <c r="S222" s="60"/>
      <c r="T222" s="60"/>
      <c r="U222" s="60"/>
      <c r="V222" s="60"/>
      <c r="W222" s="60"/>
    </row>
    <row r="223" spans="1:23" ht="15" customHeight="1" thickTop="1" x14ac:dyDescent="0.2">
      <c r="A223" s="2"/>
      <c r="B223" s="388"/>
      <c r="C223" s="274"/>
      <c r="D223" s="389"/>
      <c r="E223" s="390"/>
      <c r="F223" s="230"/>
      <c r="G223" s="230"/>
      <c r="H223" s="230"/>
      <c r="I223" s="219"/>
      <c r="J223" s="219"/>
      <c r="K223" s="219"/>
      <c r="L223" s="219"/>
      <c r="M223" s="219"/>
      <c r="N223" s="219"/>
      <c r="O223" s="219"/>
      <c r="P223" s="401"/>
      <c r="Q223" s="2"/>
      <c r="R223" s="60"/>
      <c r="S223" s="60"/>
      <c r="T223" s="60"/>
      <c r="U223" s="60"/>
      <c r="V223" s="60"/>
      <c r="W223" s="60"/>
    </row>
    <row r="224" spans="1:23" ht="15" customHeight="1" x14ac:dyDescent="0.2">
      <c r="A224" s="2"/>
      <c r="B224" s="388"/>
      <c r="C224" s="274"/>
      <c r="D224" s="389"/>
      <c r="E224" s="390"/>
      <c r="F224" s="402"/>
      <c r="G224" s="230"/>
      <c r="H224" s="402"/>
      <c r="I224" s="219"/>
      <c r="J224" s="219"/>
      <c r="K224" s="219"/>
      <c r="L224" s="219"/>
      <c r="M224" s="219"/>
      <c r="N224" s="219"/>
      <c r="O224" s="219"/>
      <c r="P224" s="401"/>
      <c r="Q224" s="2"/>
      <c r="R224" s="33"/>
      <c r="S224" s="60"/>
      <c r="T224" s="60"/>
      <c r="U224" s="60"/>
      <c r="V224" s="60"/>
      <c r="W224" s="60"/>
    </row>
    <row r="225" spans="1:23" ht="15" customHeight="1" x14ac:dyDescent="0.25">
      <c r="A225" s="2"/>
      <c r="B225" s="388"/>
      <c r="C225" s="274"/>
      <c r="D225" s="478"/>
      <c r="E225" s="384"/>
      <c r="F225" s="427" t="s">
        <v>857</v>
      </c>
      <c r="G225" s="230"/>
      <c r="H225" s="403"/>
      <c r="I225" s="219"/>
      <c r="J225" s="219"/>
      <c r="K225" s="219"/>
      <c r="L225" s="219"/>
      <c r="M225" s="219"/>
      <c r="N225" s="219"/>
      <c r="O225" s="219"/>
      <c r="P225" s="401"/>
      <c r="Q225" s="2"/>
      <c r="R225" s="60"/>
      <c r="S225" s="60"/>
      <c r="T225" s="60"/>
      <c r="U225" s="60"/>
      <c r="V225" s="60"/>
      <c r="W225" s="60"/>
    </row>
    <row r="226" spans="1:23" ht="15" customHeight="1" x14ac:dyDescent="0.25">
      <c r="A226" s="2"/>
      <c r="B226" s="468"/>
      <c r="C226" s="274"/>
      <c r="D226" s="478" t="s">
        <v>1072</v>
      </c>
      <c r="E226" s="384"/>
      <c r="F226" s="220" t="s">
        <v>858</v>
      </c>
      <c r="G226" s="230"/>
      <c r="H226" s="230"/>
      <c r="I226" s="219"/>
      <c r="J226" s="219"/>
      <c r="K226" s="1"/>
      <c r="L226" s="396"/>
      <c r="M226" s="219"/>
      <c r="N226" s="219"/>
      <c r="O226" s="219"/>
      <c r="P226" s="401"/>
      <c r="Q226" s="2"/>
      <c r="R226" s="602"/>
      <c r="S226" s="60"/>
      <c r="T226" s="60"/>
      <c r="U226" s="60"/>
      <c r="V226" s="60"/>
      <c r="W226" s="60"/>
    </row>
    <row r="227" spans="1:23" ht="15" customHeight="1" thickBot="1" x14ac:dyDescent="0.25">
      <c r="A227" s="2"/>
      <c r="B227" s="1320"/>
      <c r="C227" s="1321"/>
      <c r="D227" s="1322"/>
      <c r="E227" s="1323"/>
      <c r="F227" s="1324"/>
      <c r="G227" s="1325"/>
      <c r="H227" s="1325"/>
      <c r="I227" s="1326"/>
      <c r="J227" s="1326"/>
      <c r="K227" s="1327"/>
      <c r="L227" s="1328"/>
      <c r="M227" s="1326"/>
      <c r="N227" s="1326"/>
      <c r="O227" s="219"/>
      <c r="P227" s="401"/>
      <c r="Q227" s="2"/>
      <c r="R227" s="33"/>
      <c r="S227" s="60"/>
      <c r="T227" s="60"/>
      <c r="U227" s="60"/>
      <c r="V227" s="60"/>
      <c r="W227" s="60"/>
    </row>
    <row r="228" spans="1:23" ht="16.5" customHeight="1" thickTop="1" x14ac:dyDescent="0.2">
      <c r="A228" s="1277"/>
      <c r="B228" s="1101" t="s">
        <v>701</v>
      </c>
      <c r="C228" s="1102"/>
      <c r="D228" s="1103"/>
      <c r="E228" s="1103" t="s">
        <v>1068</v>
      </c>
      <c r="F228" s="1104"/>
      <c r="G228" s="1104"/>
      <c r="H228" s="1104"/>
      <c r="I228" s="1105"/>
      <c r="J228" s="1105"/>
      <c r="K228" s="1105"/>
      <c r="L228" s="1106"/>
      <c r="M228" s="1105"/>
      <c r="N228" s="1329"/>
      <c r="O228" s="219"/>
      <c r="P228" s="401"/>
      <c r="Q228" s="2"/>
      <c r="R228" s="33"/>
      <c r="S228" s="60"/>
      <c r="T228" s="60"/>
      <c r="U228" s="60"/>
      <c r="V228" s="60"/>
      <c r="W228" s="60"/>
    </row>
    <row r="229" spans="1:23" ht="23.25" customHeight="1" x14ac:dyDescent="0.2">
      <c r="A229" s="1277"/>
      <c r="B229" s="1108" t="s">
        <v>536</v>
      </c>
      <c r="C229" s="1253"/>
      <c r="D229" s="1246" t="str">
        <f>ПЭП34</f>
        <v>10500 /луч</v>
      </c>
      <c r="E229" s="1940" t="s">
        <v>727</v>
      </c>
      <c r="F229" s="1941"/>
      <c r="G229" s="1941"/>
      <c r="H229" s="1941"/>
      <c r="I229" s="1941"/>
      <c r="J229" s="1941"/>
      <c r="K229" s="1941"/>
      <c r="L229" s="1941"/>
      <c r="M229" s="1941"/>
      <c r="N229" s="1942"/>
      <c r="O229" s="219"/>
      <c r="P229" s="401"/>
      <c r="Q229" s="2"/>
      <c r="R229" s="60"/>
      <c r="S229" s="60"/>
      <c r="T229" s="60"/>
      <c r="U229" s="60"/>
      <c r="V229" s="60"/>
      <c r="W229" s="60"/>
    </row>
    <row r="230" spans="1:23" ht="23.25" customHeight="1" x14ac:dyDescent="0.2">
      <c r="A230" s="1277"/>
      <c r="B230" s="1371" t="s">
        <v>537</v>
      </c>
      <c r="C230" s="1473"/>
      <c r="D230" s="1474" t="str">
        <f>ПЭП64</f>
        <v>10500 /луч</v>
      </c>
      <c r="E230" s="1931" t="s">
        <v>724</v>
      </c>
      <c r="F230" s="1938"/>
      <c r="G230" s="1938"/>
      <c r="H230" s="1938"/>
      <c r="I230" s="1938"/>
      <c r="J230" s="1938"/>
      <c r="K230" s="1938"/>
      <c r="L230" s="1938"/>
      <c r="M230" s="1938"/>
      <c r="N230" s="1939"/>
      <c r="O230" s="219"/>
      <c r="P230" s="401"/>
      <c r="Q230" s="2"/>
      <c r="R230" s="602"/>
      <c r="S230" s="60"/>
      <c r="T230" s="60"/>
      <c r="U230" s="60"/>
      <c r="V230" s="60"/>
      <c r="W230" s="60"/>
    </row>
    <row r="231" spans="1:23" ht="31.5" customHeight="1" x14ac:dyDescent="0.2">
      <c r="A231" s="1277"/>
      <c r="B231" s="1359" t="s">
        <v>538</v>
      </c>
      <c r="C231" s="1254"/>
      <c r="D231" s="1189" t="str">
        <f>ПЭП34У</f>
        <v>14000 /луч</v>
      </c>
      <c r="E231" s="1924" t="s">
        <v>366</v>
      </c>
      <c r="F231" s="1846"/>
      <c r="G231" s="1846"/>
      <c r="H231" s="1846"/>
      <c r="I231" s="1846"/>
      <c r="J231" s="1846"/>
      <c r="K231" s="1846"/>
      <c r="L231" s="1846"/>
      <c r="M231" s="1846"/>
      <c r="N231" s="1847"/>
      <c r="O231" s="219"/>
      <c r="P231" s="401"/>
      <c r="Q231" s="2"/>
      <c r="R231" s="602"/>
      <c r="S231" s="60"/>
      <c r="T231" s="60"/>
      <c r="U231" s="60"/>
      <c r="V231" s="60"/>
      <c r="W231" s="60"/>
    </row>
    <row r="232" spans="1:23" ht="31.5" customHeight="1" x14ac:dyDescent="0.2">
      <c r="A232" s="1277"/>
      <c r="B232" s="1475" t="s">
        <v>539</v>
      </c>
      <c r="C232" s="1366"/>
      <c r="D232" s="1474" t="str">
        <f>ПЭП64У</f>
        <v>14000 /луч</v>
      </c>
      <c r="E232" s="1931" t="s">
        <v>363</v>
      </c>
      <c r="F232" s="1938"/>
      <c r="G232" s="1938"/>
      <c r="H232" s="1938"/>
      <c r="I232" s="1938"/>
      <c r="J232" s="1938"/>
      <c r="K232" s="1938"/>
      <c r="L232" s="1938"/>
      <c r="M232" s="1938"/>
      <c r="N232" s="1939"/>
      <c r="O232" s="219"/>
      <c r="P232" s="401"/>
      <c r="Q232" s="2"/>
      <c r="R232" s="602"/>
      <c r="S232" s="60"/>
      <c r="T232" s="60"/>
      <c r="U232" s="60"/>
      <c r="V232" s="60"/>
      <c r="W232" s="60"/>
    </row>
    <row r="233" spans="1:23" ht="23.25" customHeight="1" x14ac:dyDescent="0.2">
      <c r="A233" s="1277"/>
      <c r="B233" s="1051" t="s">
        <v>540</v>
      </c>
      <c r="C233" s="1254"/>
      <c r="D233" s="1189" t="str">
        <f>ПЭП34IP68</f>
        <v>21000 /луч</v>
      </c>
      <c r="E233" s="1924" t="s">
        <v>725</v>
      </c>
      <c r="F233" s="1846"/>
      <c r="G233" s="1846"/>
      <c r="H233" s="1846"/>
      <c r="I233" s="1846"/>
      <c r="J233" s="1846"/>
      <c r="K233" s="1846"/>
      <c r="L233" s="1846"/>
      <c r="M233" s="1846"/>
      <c r="N233" s="1847"/>
      <c r="O233" s="219"/>
      <c r="P233" s="401"/>
      <c r="Q233" s="2"/>
      <c r="R233" s="33"/>
      <c r="S233" s="60"/>
      <c r="T233" s="60"/>
      <c r="U233" s="60"/>
      <c r="V233" s="60"/>
      <c r="W233" s="60"/>
    </row>
    <row r="234" spans="1:23" ht="23.25" customHeight="1" x14ac:dyDescent="0.2">
      <c r="A234" s="1277"/>
      <c r="B234" s="1476" t="s">
        <v>541</v>
      </c>
      <c r="C234" s="1366"/>
      <c r="D234" s="1474" t="str">
        <f>ПЭП64IP68</f>
        <v>21000 /луч</v>
      </c>
      <c r="E234" s="1931" t="s">
        <v>726</v>
      </c>
      <c r="F234" s="1938"/>
      <c r="G234" s="1938"/>
      <c r="H234" s="1938"/>
      <c r="I234" s="1938"/>
      <c r="J234" s="1938"/>
      <c r="K234" s="1938"/>
      <c r="L234" s="1938"/>
      <c r="M234" s="1938"/>
      <c r="N234" s="1939"/>
      <c r="O234" s="219"/>
      <c r="P234" s="401"/>
      <c r="Q234" s="2"/>
      <c r="R234" s="60"/>
      <c r="S234" s="60"/>
      <c r="T234" s="60"/>
      <c r="U234" s="60"/>
      <c r="V234" s="60"/>
      <c r="W234" s="60"/>
    </row>
    <row r="235" spans="1:23" ht="23.25" customHeight="1" x14ac:dyDescent="0.2">
      <c r="A235" s="1277"/>
      <c r="B235" s="1051" t="s">
        <v>542</v>
      </c>
      <c r="C235" s="1254"/>
      <c r="D235" s="1189" t="str">
        <f>ПЭП34IP68У</f>
        <v>24500 /луч</v>
      </c>
      <c r="E235" s="1924" t="s">
        <v>365</v>
      </c>
      <c r="F235" s="1846"/>
      <c r="G235" s="1846"/>
      <c r="H235" s="1846"/>
      <c r="I235" s="1846"/>
      <c r="J235" s="1846"/>
      <c r="K235" s="1846"/>
      <c r="L235" s="1846"/>
      <c r="M235" s="1846"/>
      <c r="N235" s="1847"/>
      <c r="O235" s="219"/>
      <c r="P235" s="401"/>
      <c r="Q235" s="2"/>
      <c r="R235" s="602"/>
      <c r="S235" s="60"/>
      <c r="T235" s="60"/>
      <c r="U235" s="60"/>
      <c r="V235" s="60"/>
      <c r="W235" s="60"/>
    </row>
    <row r="236" spans="1:23" ht="23.25" customHeight="1" x14ac:dyDescent="0.2">
      <c r="A236" s="1277"/>
      <c r="B236" s="1476" t="s">
        <v>543</v>
      </c>
      <c r="C236" s="1366"/>
      <c r="D236" s="1474" t="str">
        <f>ПЭП64IP68У</f>
        <v>24500 /луч</v>
      </c>
      <c r="E236" s="1931" t="s">
        <v>364</v>
      </c>
      <c r="F236" s="1938"/>
      <c r="G236" s="1938"/>
      <c r="H236" s="1938"/>
      <c r="I236" s="1938"/>
      <c r="J236" s="1938"/>
      <c r="K236" s="1938"/>
      <c r="L236" s="1938"/>
      <c r="M236" s="1938"/>
      <c r="N236" s="1939"/>
      <c r="O236" s="219"/>
      <c r="P236" s="401"/>
      <c r="Q236" s="2"/>
      <c r="R236" s="33"/>
      <c r="S236" s="60"/>
      <c r="T236" s="60"/>
      <c r="U236" s="60"/>
      <c r="V236" s="60"/>
      <c r="W236" s="60"/>
    </row>
    <row r="237" spans="1:23" ht="23.25" customHeight="1" x14ac:dyDescent="0.2">
      <c r="A237" s="1277"/>
      <c r="B237" s="1360" t="s">
        <v>1433</v>
      </c>
      <c r="C237" s="1361"/>
      <c r="D237" s="1362" t="str">
        <f>ПП212</f>
        <v>21000 /луч</v>
      </c>
      <c r="E237" s="1950" t="s">
        <v>373</v>
      </c>
      <c r="F237" s="1951"/>
      <c r="G237" s="1951"/>
      <c r="H237" s="1951"/>
      <c r="I237" s="1951"/>
      <c r="J237" s="1951"/>
      <c r="K237" s="1951"/>
      <c r="L237" s="1951"/>
      <c r="M237" s="1951"/>
      <c r="N237" s="1952"/>
      <c r="O237" s="219"/>
      <c r="P237" s="401"/>
      <c r="Q237" s="2"/>
      <c r="R237" s="60"/>
      <c r="S237" s="60"/>
      <c r="T237" s="60"/>
      <c r="U237" s="60"/>
      <c r="V237" s="60"/>
      <c r="W237" s="60"/>
    </row>
    <row r="238" spans="1:23" ht="23.25" customHeight="1" x14ac:dyDescent="0.2">
      <c r="A238" s="1277"/>
      <c r="B238" s="1476" t="s">
        <v>1434</v>
      </c>
      <c r="C238" s="1366"/>
      <c r="D238" s="1474" t="str">
        <f>ПП212_68</f>
        <v>35000 /луч</v>
      </c>
      <c r="E238" s="1953" t="s">
        <v>367</v>
      </c>
      <c r="F238" s="1938"/>
      <c r="G238" s="1938"/>
      <c r="H238" s="1938"/>
      <c r="I238" s="1938"/>
      <c r="J238" s="1938"/>
      <c r="K238" s="1938"/>
      <c r="L238" s="1938"/>
      <c r="M238" s="1938"/>
      <c r="N238" s="1939"/>
      <c r="O238" s="219"/>
      <c r="P238" s="401"/>
      <c r="Q238" s="2"/>
      <c r="R238" s="60"/>
      <c r="S238" s="60"/>
      <c r="T238" s="60"/>
      <c r="U238" s="60"/>
      <c r="V238" s="60"/>
      <c r="W238" s="60"/>
    </row>
    <row r="239" spans="1:23" ht="23.25" customHeight="1" x14ac:dyDescent="0.2">
      <c r="A239" s="1277"/>
      <c r="B239" s="1330" t="s">
        <v>862</v>
      </c>
      <c r="C239" s="1331"/>
      <c r="D239" s="1181" t="str">
        <f>ПЭП3_200</f>
        <v>21000 /луч</v>
      </c>
      <c r="E239" s="1885" t="s">
        <v>531</v>
      </c>
      <c r="F239" s="1948"/>
      <c r="G239" s="1948"/>
      <c r="H239" s="1948"/>
      <c r="I239" s="1948"/>
      <c r="J239" s="1948"/>
      <c r="K239" s="1948"/>
      <c r="L239" s="1948"/>
      <c r="M239" s="1948"/>
      <c r="N239" s="1949"/>
      <c r="O239" s="219"/>
      <c r="P239" s="401"/>
      <c r="Q239" s="2"/>
      <c r="R239" s="60"/>
      <c r="S239" s="60"/>
      <c r="T239" s="60"/>
      <c r="U239" s="60"/>
      <c r="V239" s="60"/>
      <c r="W239" s="60"/>
    </row>
    <row r="240" spans="1:23" ht="23.25" customHeight="1" x14ac:dyDescent="0.2">
      <c r="A240" s="1277"/>
      <c r="B240" s="1476" t="s">
        <v>863</v>
      </c>
      <c r="C240" s="1366"/>
      <c r="D240" s="1474" t="str">
        <f>ПЭП6_200</f>
        <v>21000 /луч</v>
      </c>
      <c r="E240" s="1931" t="s">
        <v>722</v>
      </c>
      <c r="F240" s="1938"/>
      <c r="G240" s="1938"/>
      <c r="H240" s="1938"/>
      <c r="I240" s="1938"/>
      <c r="J240" s="1938"/>
      <c r="K240" s="1938"/>
      <c r="L240" s="1938"/>
      <c r="M240" s="1938"/>
      <c r="N240" s="1939"/>
      <c r="O240" s="219"/>
      <c r="P240" s="401"/>
      <c r="Q240" s="2"/>
      <c r="R240" s="60"/>
      <c r="S240" s="60"/>
      <c r="T240" s="60"/>
      <c r="U240" s="60"/>
      <c r="V240" s="60"/>
      <c r="W240" s="60"/>
    </row>
    <row r="241" spans="1:23" ht="23.25" customHeight="1" x14ac:dyDescent="0.2">
      <c r="A241" s="1277"/>
      <c r="B241" s="498" t="s">
        <v>527</v>
      </c>
      <c r="C241" s="1255"/>
      <c r="D241" s="1181" t="str">
        <f>ПЭП3_200_68</f>
        <v>35000 /луч</v>
      </c>
      <c r="E241" s="1885" t="s">
        <v>531</v>
      </c>
      <c r="F241" s="1948"/>
      <c r="G241" s="1948"/>
      <c r="H241" s="1948"/>
      <c r="I241" s="1948"/>
      <c r="J241" s="1948"/>
      <c r="K241" s="1948"/>
      <c r="L241" s="1948"/>
      <c r="M241" s="1948"/>
      <c r="N241" s="1949"/>
      <c r="O241" s="219"/>
      <c r="P241" s="401"/>
      <c r="Q241" s="2"/>
      <c r="R241" s="60"/>
      <c r="S241" s="60"/>
      <c r="T241" s="60"/>
      <c r="U241" s="60"/>
      <c r="V241" s="60"/>
      <c r="W241" s="60"/>
    </row>
    <row r="242" spans="1:23" ht="23.25" customHeight="1" x14ac:dyDescent="0.2">
      <c r="A242" s="1277"/>
      <c r="B242" s="1476" t="s">
        <v>528</v>
      </c>
      <c r="C242" s="1366"/>
      <c r="D242" s="1474" t="str">
        <f>ПЭП6_200_68</f>
        <v>35000 /луч</v>
      </c>
      <c r="E242" s="1931" t="s">
        <v>722</v>
      </c>
      <c r="F242" s="1938"/>
      <c r="G242" s="1938"/>
      <c r="H242" s="1938"/>
      <c r="I242" s="1938"/>
      <c r="J242" s="1938"/>
      <c r="K242" s="1938"/>
      <c r="L242" s="1938"/>
      <c r="M242" s="1938"/>
      <c r="N242" s="1939"/>
      <c r="O242" s="219"/>
      <c r="P242" s="401"/>
      <c r="Q242" s="2"/>
      <c r="R242" s="60"/>
      <c r="S242" s="60"/>
      <c r="T242" s="60"/>
      <c r="U242" s="60"/>
      <c r="V242" s="60"/>
      <c r="W242" s="60"/>
    </row>
    <row r="243" spans="1:23" ht="23.25" customHeight="1" x14ac:dyDescent="0.2">
      <c r="A243" s="1277"/>
      <c r="B243" s="498" t="s">
        <v>790</v>
      </c>
      <c r="C243" s="1255"/>
      <c r="D243" s="1181" t="str">
        <f>ПЭП3_220</f>
        <v>43750 /луч</v>
      </c>
      <c r="E243" s="1885" t="s">
        <v>795</v>
      </c>
      <c r="F243" s="1948"/>
      <c r="G243" s="1948"/>
      <c r="H243" s="1948"/>
      <c r="I243" s="1948"/>
      <c r="J243" s="1948"/>
      <c r="K243" s="1948"/>
      <c r="L243" s="1948"/>
      <c r="M243" s="1948"/>
      <c r="N243" s="1949"/>
      <c r="O243" s="219"/>
      <c r="P243" s="401"/>
      <c r="Q243" s="2"/>
      <c r="R243" s="33"/>
      <c r="S243" s="60"/>
      <c r="T243" s="60"/>
      <c r="U243" s="60"/>
      <c r="V243" s="60"/>
      <c r="W243" s="60"/>
    </row>
    <row r="244" spans="1:23" ht="23.25" customHeight="1" x14ac:dyDescent="0.2">
      <c r="A244" s="1277"/>
      <c r="B244" s="1476" t="s">
        <v>791</v>
      </c>
      <c r="C244" s="1366"/>
      <c r="D244" s="1474" t="str">
        <f>ПЭП6_220</f>
        <v>43750 /луч</v>
      </c>
      <c r="E244" s="1931" t="s">
        <v>796</v>
      </c>
      <c r="F244" s="1938"/>
      <c r="G244" s="1938"/>
      <c r="H244" s="1938"/>
      <c r="I244" s="1938"/>
      <c r="J244" s="1938"/>
      <c r="K244" s="1938"/>
      <c r="L244" s="1938"/>
      <c r="M244" s="1938"/>
      <c r="N244" s="1939"/>
      <c r="O244" s="219"/>
      <c r="P244" s="401"/>
      <c r="Q244" s="2"/>
      <c r="R244" s="33"/>
      <c r="S244" s="60"/>
      <c r="T244" s="60"/>
      <c r="U244" s="60"/>
      <c r="V244" s="60"/>
      <c r="W244" s="60"/>
    </row>
    <row r="245" spans="1:23" ht="23.25" customHeight="1" x14ac:dyDescent="0.2">
      <c r="A245" s="1277"/>
      <c r="B245" s="498" t="s">
        <v>529</v>
      </c>
      <c r="C245" s="1255"/>
      <c r="D245" s="1181" t="str">
        <f>ПЭП3Ф</f>
        <v>26250 /луч</v>
      </c>
      <c r="E245" s="1885" t="s">
        <v>723</v>
      </c>
      <c r="F245" s="1948"/>
      <c r="G245" s="1948"/>
      <c r="H245" s="1948"/>
      <c r="I245" s="1948"/>
      <c r="J245" s="1948"/>
      <c r="K245" s="1948"/>
      <c r="L245" s="1948"/>
      <c r="M245" s="1948"/>
      <c r="N245" s="1949"/>
      <c r="O245" s="219"/>
      <c r="P245" s="401"/>
      <c r="Q245" s="2"/>
      <c r="R245" s="60"/>
      <c r="S245" s="60"/>
      <c r="T245" s="60"/>
      <c r="U245" s="60"/>
      <c r="V245" s="60"/>
      <c r="W245" s="60"/>
    </row>
    <row r="246" spans="1:23" ht="23.25" customHeight="1" thickBot="1" x14ac:dyDescent="0.25">
      <c r="A246" s="1277"/>
      <c r="B246" s="1477" t="s">
        <v>530</v>
      </c>
      <c r="C246" s="1345"/>
      <c r="D246" s="1430" t="str">
        <f>ПЭП6Ф</f>
        <v>26250 /луч</v>
      </c>
      <c r="E246" s="1906" t="s">
        <v>728</v>
      </c>
      <c r="F246" s="1936"/>
      <c r="G246" s="1936"/>
      <c r="H246" s="1936"/>
      <c r="I246" s="1936"/>
      <c r="J246" s="1936"/>
      <c r="K246" s="1936"/>
      <c r="L246" s="1936"/>
      <c r="M246" s="1936"/>
      <c r="N246" s="1937"/>
      <c r="O246" s="219"/>
      <c r="P246" s="401"/>
      <c r="Q246" s="2"/>
      <c r="R246" s="33"/>
      <c r="S246" s="60"/>
      <c r="T246" s="60"/>
      <c r="U246" s="60"/>
      <c r="V246" s="60"/>
      <c r="W246" s="60"/>
    </row>
    <row r="247" spans="1:23" ht="15" customHeight="1" thickTop="1" x14ac:dyDescent="0.2">
      <c r="A247" s="1"/>
      <c r="B247" s="388"/>
      <c r="C247" s="274"/>
      <c r="D247" s="389"/>
      <c r="E247" s="390"/>
      <c r="F247" s="230"/>
      <c r="G247" s="230"/>
      <c r="H247" s="230"/>
      <c r="I247" s="219"/>
      <c r="J247" s="219"/>
      <c r="K247" s="219"/>
      <c r="L247" s="219"/>
      <c r="M247" s="219"/>
      <c r="N247" s="219"/>
      <c r="O247" s="219"/>
      <c r="P247" s="401"/>
      <c r="Q247" s="2"/>
      <c r="R247" s="60"/>
      <c r="S247" s="60"/>
      <c r="T247" s="60"/>
      <c r="U247" s="60"/>
      <c r="V247" s="60"/>
      <c r="W247" s="60"/>
    </row>
    <row r="248" spans="1:23" ht="15" customHeight="1" x14ac:dyDescent="0.2">
      <c r="A248" s="1"/>
      <c r="B248" s="388"/>
      <c r="C248" s="274"/>
      <c r="D248" s="389"/>
      <c r="E248" s="390"/>
      <c r="F248" s="230"/>
      <c r="G248" s="230"/>
      <c r="H248" s="230"/>
      <c r="I248" s="219"/>
      <c r="J248" s="219"/>
      <c r="K248" s="219"/>
      <c r="L248" s="219"/>
      <c r="M248" s="219"/>
      <c r="N248" s="219"/>
      <c r="O248" s="219"/>
      <c r="P248" s="401"/>
      <c r="Q248" s="2"/>
      <c r="R248" s="602"/>
      <c r="S248" s="60"/>
      <c r="T248" s="60"/>
      <c r="U248" s="60"/>
      <c r="V248" s="60"/>
      <c r="W248" s="60"/>
    </row>
    <row r="249" spans="1:23" ht="15" customHeight="1" x14ac:dyDescent="0.25">
      <c r="A249" s="1"/>
      <c r="B249" s="388"/>
      <c r="C249" s="274"/>
      <c r="D249" s="478"/>
      <c r="E249" s="479"/>
      <c r="F249" s="427" t="s">
        <v>857</v>
      </c>
      <c r="G249" s="230"/>
      <c r="H249" s="402"/>
      <c r="I249" s="219"/>
      <c r="J249" s="219"/>
      <c r="K249" s="219"/>
      <c r="L249" s="219"/>
      <c r="M249" s="219"/>
      <c r="N249" s="219"/>
      <c r="O249" s="219"/>
      <c r="P249" s="401"/>
      <c r="Q249" s="2"/>
      <c r="R249" s="33"/>
      <c r="S249" s="60"/>
      <c r="T249" s="60"/>
      <c r="U249" s="60"/>
      <c r="V249" s="60"/>
      <c r="W249" s="60"/>
    </row>
    <row r="250" spans="1:23" ht="15" customHeight="1" x14ac:dyDescent="0.25">
      <c r="A250" s="1"/>
      <c r="B250" s="388"/>
      <c r="C250" s="274"/>
      <c r="D250" s="478" t="s">
        <v>1073</v>
      </c>
      <c r="E250" s="384"/>
      <c r="F250" s="220" t="s">
        <v>233</v>
      </c>
      <c r="G250" s="230"/>
      <c r="H250" s="403"/>
      <c r="I250" s="219"/>
      <c r="J250" s="219"/>
      <c r="K250" s="219"/>
      <c r="L250" s="219"/>
      <c r="M250" s="219"/>
      <c r="N250" s="219"/>
      <c r="O250" s="219"/>
      <c r="P250" s="401"/>
      <c r="Q250" s="2"/>
      <c r="R250" s="33"/>
      <c r="S250" s="60"/>
      <c r="T250" s="60"/>
      <c r="U250" s="60"/>
      <c r="V250" s="60"/>
      <c r="W250" s="60"/>
    </row>
    <row r="251" spans="1:23" ht="15" customHeight="1" thickBot="1" x14ac:dyDescent="0.25">
      <c r="A251" s="1"/>
      <c r="B251" s="1369"/>
      <c r="C251" s="1321"/>
      <c r="D251" s="1322"/>
      <c r="E251" s="1323"/>
      <c r="F251" s="1324"/>
      <c r="G251" s="1325"/>
      <c r="H251" s="1370"/>
      <c r="I251" s="1326"/>
      <c r="J251" s="1326"/>
      <c r="K251" s="1326"/>
      <c r="L251" s="1326"/>
      <c r="M251" s="1326"/>
      <c r="N251" s="1326"/>
      <c r="O251" s="219"/>
      <c r="P251" s="401"/>
      <c r="Q251" s="2"/>
      <c r="R251" s="33"/>
      <c r="S251" s="60"/>
      <c r="T251" s="60"/>
      <c r="U251" s="60"/>
      <c r="V251" s="60"/>
      <c r="W251" s="60"/>
    </row>
    <row r="252" spans="1:23" ht="16.5" customHeight="1" thickTop="1" x14ac:dyDescent="0.2">
      <c r="A252" s="1277"/>
      <c r="B252" s="1101" t="s">
        <v>701</v>
      </c>
      <c r="C252" s="1102"/>
      <c r="D252" s="1103"/>
      <c r="E252" s="1103" t="s">
        <v>702</v>
      </c>
      <c r="F252" s="1104"/>
      <c r="G252" s="1104"/>
      <c r="H252" s="1104"/>
      <c r="I252" s="1105"/>
      <c r="J252" s="1105"/>
      <c r="K252" s="1105"/>
      <c r="L252" s="1106"/>
      <c r="M252" s="1105"/>
      <c r="N252" s="1329"/>
      <c r="O252" s="219"/>
      <c r="P252" s="401"/>
      <c r="Q252" s="2"/>
      <c r="R252" s="33"/>
      <c r="S252" s="60"/>
      <c r="T252" s="60"/>
      <c r="U252" s="60"/>
      <c r="V252" s="60"/>
      <c r="W252" s="60"/>
    </row>
    <row r="253" spans="1:23" ht="23.25" customHeight="1" x14ac:dyDescent="0.2">
      <c r="A253" s="1277"/>
      <c r="B253" s="498" t="s">
        <v>147</v>
      </c>
      <c r="C253" s="1253"/>
      <c r="D253" s="1246">
        <f>КМЧ800_1</f>
        <v>4375</v>
      </c>
      <c r="E253" s="1880" t="s">
        <v>24</v>
      </c>
      <c r="F253" s="1929"/>
      <c r="G253" s="1929"/>
      <c r="H253" s="1929"/>
      <c r="I253" s="1929"/>
      <c r="J253" s="1929"/>
      <c r="K253" s="1929"/>
      <c r="L253" s="1929"/>
      <c r="M253" s="1929"/>
      <c r="N253" s="1930"/>
      <c r="O253" s="219"/>
      <c r="P253" s="401"/>
      <c r="Q253" s="2"/>
      <c r="R253" s="33"/>
      <c r="S253" s="60"/>
      <c r="T253" s="60"/>
      <c r="U253" s="60"/>
      <c r="V253" s="60"/>
      <c r="W253" s="60"/>
    </row>
    <row r="254" spans="1:23" ht="23.25" customHeight="1" x14ac:dyDescent="0.2">
      <c r="A254" s="1277"/>
      <c r="B254" s="1371" t="s">
        <v>148</v>
      </c>
      <c r="C254" s="1366"/>
      <c r="D254" s="1474" t="str">
        <f>КМЧ800_2</f>
        <v>5250 /луч</v>
      </c>
      <c r="E254" s="1931" t="s">
        <v>1430</v>
      </c>
      <c r="F254" s="1932"/>
      <c r="G254" s="1932"/>
      <c r="H254" s="1932"/>
      <c r="I254" s="1932"/>
      <c r="J254" s="1932"/>
      <c r="K254" s="1932"/>
      <c r="L254" s="1932"/>
      <c r="M254" s="1932"/>
      <c r="N254" s="1933"/>
      <c r="O254" s="219"/>
      <c r="P254" s="401"/>
      <c r="Q254" s="2"/>
      <c r="R254" s="60"/>
      <c r="S254" s="60"/>
      <c r="T254" s="60"/>
      <c r="U254" s="60"/>
      <c r="V254" s="60"/>
      <c r="W254" s="60"/>
    </row>
    <row r="255" spans="1:23" ht="23.25" customHeight="1" x14ac:dyDescent="0.2">
      <c r="A255" s="1277"/>
      <c r="B255" s="1052" t="s">
        <v>544</v>
      </c>
      <c r="C255" s="1254"/>
      <c r="D255" s="1256">
        <f>КМЧ800_1нерж</f>
        <v>14000</v>
      </c>
      <c r="E255" s="1880" t="s">
        <v>461</v>
      </c>
      <c r="F255" s="1934"/>
      <c r="G255" s="1934"/>
      <c r="H255" s="1934"/>
      <c r="I255" s="1934"/>
      <c r="J255" s="1934"/>
      <c r="K255" s="1934"/>
      <c r="L255" s="1934"/>
      <c r="M255" s="1934"/>
      <c r="N255" s="1935"/>
      <c r="O255" s="219"/>
      <c r="P255" s="401"/>
      <c r="Q255" s="2"/>
      <c r="R255" s="33"/>
      <c r="S255" s="60"/>
      <c r="T255" s="60"/>
      <c r="U255" s="60"/>
      <c r="V255" s="60"/>
      <c r="W255" s="60"/>
    </row>
    <row r="256" spans="1:23" ht="23.25" customHeight="1" x14ac:dyDescent="0.2">
      <c r="A256" s="1277"/>
      <c r="B256" s="1476" t="s">
        <v>1100</v>
      </c>
      <c r="C256" s="1366"/>
      <c r="D256" s="1474" t="str">
        <f>КМЧ800_2нерж</f>
        <v>14000 /луч</v>
      </c>
      <c r="E256" s="1931" t="s">
        <v>1429</v>
      </c>
      <c r="F256" s="1932"/>
      <c r="G256" s="1932"/>
      <c r="H256" s="1932"/>
      <c r="I256" s="1932"/>
      <c r="J256" s="1932"/>
      <c r="K256" s="1932"/>
      <c r="L256" s="1932"/>
      <c r="M256" s="1932"/>
      <c r="N256" s="1933"/>
      <c r="O256" s="219"/>
      <c r="P256" s="401"/>
      <c r="Q256" s="2"/>
      <c r="R256" s="33"/>
      <c r="S256" s="60"/>
      <c r="T256" s="60"/>
      <c r="U256" s="60"/>
      <c r="V256" s="60"/>
      <c r="W256" s="60"/>
    </row>
    <row r="257" spans="1:23" ht="23.25" customHeight="1" x14ac:dyDescent="0.2">
      <c r="A257" s="1277"/>
      <c r="B257" s="130" t="s">
        <v>417</v>
      </c>
      <c r="C257" s="1254"/>
      <c r="D257" s="1256">
        <f>КМЧ800_1ШК</f>
        <v>26250</v>
      </c>
      <c r="E257" s="1880" t="s">
        <v>1428</v>
      </c>
      <c r="F257" s="1934"/>
      <c r="G257" s="1934"/>
      <c r="H257" s="1934"/>
      <c r="I257" s="1934"/>
      <c r="J257" s="1934"/>
      <c r="K257" s="1934"/>
      <c r="L257" s="1934"/>
      <c r="M257" s="1934"/>
      <c r="N257" s="1935"/>
      <c r="O257" s="219"/>
      <c r="P257" s="401"/>
      <c r="Q257" s="2"/>
      <c r="R257" s="60"/>
      <c r="S257" s="60"/>
      <c r="T257" s="60"/>
      <c r="U257" s="60"/>
      <c r="V257" s="60"/>
      <c r="W257" s="60"/>
    </row>
    <row r="258" spans="1:23" ht="23.25" customHeight="1" thickBot="1" x14ac:dyDescent="0.25">
      <c r="A258" s="1368"/>
      <c r="B258" s="1477" t="s">
        <v>418</v>
      </c>
      <c r="C258" s="1345"/>
      <c r="D258" s="1430" t="str">
        <f>КМЧ800_2ШК</f>
        <v>26250 /луч</v>
      </c>
      <c r="E258" s="1906" t="s">
        <v>1427</v>
      </c>
      <c r="F258" s="1936"/>
      <c r="G258" s="1936"/>
      <c r="H258" s="1936"/>
      <c r="I258" s="1936"/>
      <c r="J258" s="1936"/>
      <c r="K258" s="1936"/>
      <c r="L258" s="1936"/>
      <c r="M258" s="1936"/>
      <c r="N258" s="1937"/>
      <c r="O258" s="219"/>
      <c r="P258" s="401"/>
      <c r="Q258" s="2"/>
      <c r="R258" s="602"/>
      <c r="S258" s="60"/>
      <c r="T258" s="60"/>
      <c r="U258" s="60"/>
      <c r="V258" s="60"/>
      <c r="W258" s="60"/>
    </row>
    <row r="259" spans="1:23" ht="15" customHeight="1" thickTop="1" x14ac:dyDescent="0.2">
      <c r="A259" s="1109"/>
      <c r="B259" s="388"/>
      <c r="C259" s="274"/>
      <c r="D259" s="389"/>
      <c r="E259" s="390"/>
      <c r="F259" s="230"/>
      <c r="G259" s="230"/>
      <c r="H259" s="230"/>
      <c r="I259" s="219"/>
      <c r="J259" s="219"/>
      <c r="K259" s="219"/>
      <c r="L259" s="219"/>
      <c r="M259" s="219"/>
      <c r="N259" s="219"/>
      <c r="O259" s="219"/>
      <c r="P259" s="401"/>
      <c r="Q259" s="2"/>
      <c r="R259" s="33"/>
      <c r="S259" s="60"/>
      <c r="T259" s="60"/>
      <c r="U259" s="60"/>
      <c r="V259" s="60"/>
      <c r="W259" s="60"/>
    </row>
    <row r="260" spans="1:23" ht="15" customHeight="1" x14ac:dyDescent="0.25">
      <c r="A260" s="1"/>
      <c r="B260" s="388"/>
      <c r="C260" s="274"/>
      <c r="D260" s="478"/>
      <c r="E260" s="384"/>
      <c r="F260" s="230"/>
      <c r="G260" s="230"/>
      <c r="H260" s="230"/>
      <c r="I260" s="219"/>
      <c r="J260" s="219"/>
      <c r="K260" s="219"/>
      <c r="L260" s="219"/>
      <c r="M260" s="219"/>
      <c r="N260" s="219"/>
      <c r="O260" s="219"/>
      <c r="P260" s="401"/>
      <c r="Q260" s="2"/>
      <c r="R260" s="33"/>
      <c r="S260" s="60"/>
      <c r="T260" s="60"/>
      <c r="U260" s="60"/>
      <c r="V260" s="60"/>
      <c r="W260" s="60"/>
    </row>
    <row r="261" spans="1:23" ht="15" customHeight="1" x14ac:dyDescent="0.25">
      <c r="A261" s="1"/>
      <c r="B261" s="388"/>
      <c r="C261" s="274"/>
      <c r="D261" s="478" t="s">
        <v>413</v>
      </c>
      <c r="E261" s="384"/>
      <c r="F261" s="230"/>
      <c r="G261" s="230"/>
      <c r="H261" s="230"/>
      <c r="I261" s="219"/>
      <c r="J261" s="219"/>
      <c r="K261" s="219"/>
      <c r="L261" s="219"/>
      <c r="M261" s="219"/>
      <c r="N261" s="219"/>
      <c r="O261" s="219"/>
      <c r="P261" s="401"/>
      <c r="Q261" s="2"/>
      <c r="R261" s="33"/>
      <c r="S261" s="60"/>
      <c r="T261" s="60"/>
      <c r="U261" s="60"/>
      <c r="V261" s="60"/>
      <c r="W261" s="60"/>
    </row>
    <row r="262" spans="1:23" ht="15" customHeight="1" thickBot="1" x14ac:dyDescent="0.25">
      <c r="A262" s="1"/>
      <c r="B262" s="1379"/>
      <c r="C262" s="1380"/>
      <c r="D262" s="1322" t="s">
        <v>265</v>
      </c>
      <c r="E262" s="1381"/>
      <c r="F262" s="1382"/>
      <c r="G262" s="1383"/>
      <c r="H262" s="1384"/>
      <c r="I262" s="1384"/>
      <c r="J262" s="1384"/>
      <c r="K262" s="1384"/>
      <c r="L262" s="1384"/>
      <c r="M262" s="1384"/>
      <c r="N262" s="1384"/>
      <c r="O262" s="219"/>
      <c r="P262" s="401"/>
      <c r="Q262" s="2"/>
      <c r="R262" s="33"/>
      <c r="S262" s="60"/>
      <c r="T262" s="60"/>
      <c r="U262" s="60"/>
      <c r="V262" s="60"/>
      <c r="W262" s="60"/>
    </row>
    <row r="263" spans="1:23" ht="16.5" customHeight="1" thickTop="1" x14ac:dyDescent="0.2">
      <c r="A263" s="1277"/>
      <c r="B263" s="918" t="s">
        <v>535</v>
      </c>
      <c r="C263" s="919"/>
      <c r="D263" s="920" t="s">
        <v>821</v>
      </c>
      <c r="E263" s="921" t="s">
        <v>820</v>
      </c>
      <c r="F263" s="1001" t="s">
        <v>696</v>
      </c>
      <c r="G263" s="922"/>
      <c r="H263" s="923"/>
      <c r="I263" s="923"/>
      <c r="J263" s="923"/>
      <c r="K263" s="923"/>
      <c r="L263" s="923"/>
      <c r="M263" s="919"/>
      <c r="N263" s="1378"/>
      <c r="O263" s="219"/>
      <c r="P263" s="401"/>
      <c r="Q263" s="2"/>
      <c r="R263" s="60"/>
      <c r="S263" s="60"/>
      <c r="T263" s="60"/>
      <c r="U263" s="60"/>
      <c r="V263" s="60"/>
      <c r="W263" s="60"/>
    </row>
    <row r="264" spans="1:23" ht="15" customHeight="1" x14ac:dyDescent="0.2">
      <c r="A264" s="1277"/>
      <c r="B264" s="498" t="s">
        <v>36</v>
      </c>
      <c r="C264" s="1253"/>
      <c r="D264" s="1246">
        <f>РК50</f>
        <v>35</v>
      </c>
      <c r="E264" s="1246">
        <f>SUM(D264*1.25)</f>
        <v>43.75</v>
      </c>
      <c r="F264" s="223" t="s">
        <v>664</v>
      </c>
      <c r="G264" s="230"/>
      <c r="H264" s="230"/>
      <c r="I264" s="230"/>
      <c r="J264" s="219"/>
      <c r="K264" s="219"/>
      <c r="L264" s="219"/>
      <c r="M264" s="219"/>
      <c r="N264" s="1372"/>
      <c r="O264" s="219"/>
      <c r="P264" s="401"/>
      <c r="Q264" s="2"/>
      <c r="R264" s="602"/>
      <c r="S264" s="60"/>
      <c r="T264" s="60"/>
      <c r="U264" s="60"/>
      <c r="V264" s="60"/>
      <c r="W264" s="60"/>
    </row>
    <row r="265" spans="1:23" ht="15" customHeight="1" x14ac:dyDescent="0.2">
      <c r="A265" s="1277"/>
      <c r="B265" s="1454"/>
      <c r="C265" s="1255"/>
      <c r="D265" s="1363"/>
      <c r="E265" s="1363"/>
      <c r="F265" s="389" t="s">
        <v>663</v>
      </c>
      <c r="G265" s="230"/>
      <c r="H265" s="230"/>
      <c r="I265" s="230"/>
      <c r="J265" s="219"/>
      <c r="K265" s="219"/>
      <c r="L265" s="219"/>
      <c r="M265" s="219"/>
      <c r="N265" s="1417"/>
      <c r="O265" s="219"/>
      <c r="P265" s="401"/>
      <c r="Q265" s="2"/>
      <c r="R265" s="602"/>
      <c r="S265" s="60"/>
      <c r="T265" s="60"/>
      <c r="U265" s="60"/>
      <c r="V265" s="60"/>
      <c r="W265" s="60"/>
    </row>
    <row r="266" spans="1:23" ht="15" customHeight="1" x14ac:dyDescent="0.2">
      <c r="A266" s="1277"/>
      <c r="B266" s="1418" t="s">
        <v>801</v>
      </c>
      <c r="C266" s="1332"/>
      <c r="D266" s="1177" t="str">
        <f>КСС2Э</f>
        <v>105/105</v>
      </c>
      <c r="E266" s="1177" t="s">
        <v>1424</v>
      </c>
      <c r="F266" s="1333" t="s">
        <v>954</v>
      </c>
      <c r="G266" s="383"/>
      <c r="H266" s="383"/>
      <c r="I266" s="383"/>
      <c r="J266" s="382"/>
      <c r="K266" s="382"/>
      <c r="L266" s="382"/>
      <c r="M266" s="382"/>
      <c r="N266" s="1343"/>
      <c r="O266" s="219"/>
      <c r="P266" s="401"/>
      <c r="Q266" s="2"/>
      <c r="R266" s="602"/>
      <c r="S266" s="60"/>
      <c r="T266" s="60"/>
      <c r="U266" s="60"/>
      <c r="V266" s="60"/>
      <c r="W266" s="60"/>
    </row>
    <row r="267" spans="1:23" ht="15" customHeight="1" x14ac:dyDescent="0.2">
      <c r="A267" s="1277"/>
      <c r="B267" s="1418" t="s">
        <v>853</v>
      </c>
      <c r="C267" s="1332"/>
      <c r="D267" s="1367"/>
      <c r="E267" s="1367"/>
      <c r="F267" s="1276" t="s">
        <v>1425</v>
      </c>
      <c r="G267" s="383"/>
      <c r="H267" s="383"/>
      <c r="I267" s="383"/>
      <c r="J267" s="382"/>
      <c r="K267" s="382"/>
      <c r="L267" s="382"/>
      <c r="M267" s="382"/>
      <c r="N267" s="1373"/>
      <c r="O267" s="219"/>
      <c r="P267" s="401"/>
      <c r="Q267" s="2"/>
      <c r="R267" s="602"/>
      <c r="S267" s="60"/>
      <c r="T267" s="60"/>
      <c r="U267" s="60"/>
      <c r="V267" s="60"/>
      <c r="W267" s="60"/>
    </row>
    <row r="268" spans="1:23" ht="15" customHeight="1" x14ac:dyDescent="0.2">
      <c r="A268" s="1277"/>
      <c r="B268" s="498" t="s">
        <v>802</v>
      </c>
      <c r="C268" s="1254"/>
      <c r="D268" s="1189" t="str">
        <f>КСС4Э</f>
        <v>210/210</v>
      </c>
      <c r="E268" s="1189" t="s">
        <v>1423</v>
      </c>
      <c r="F268" s="1441" t="s">
        <v>953</v>
      </c>
      <c r="G268" s="230"/>
      <c r="H268" s="230"/>
      <c r="I268" s="230"/>
      <c r="J268" s="219"/>
      <c r="K268" s="219"/>
      <c r="L268" s="219"/>
      <c r="M268" s="219"/>
      <c r="N268" s="1372"/>
      <c r="O268" s="219"/>
      <c r="P268" s="401"/>
      <c r="Q268" s="2"/>
      <c r="R268" s="602"/>
      <c r="S268" s="60"/>
      <c r="T268" s="60"/>
      <c r="U268" s="60"/>
      <c r="V268" s="60"/>
      <c r="W268" s="60"/>
    </row>
    <row r="269" spans="1:23" ht="15" customHeight="1" thickBot="1" x14ac:dyDescent="0.25">
      <c r="A269" s="1277"/>
      <c r="B269" s="1724" t="s">
        <v>853</v>
      </c>
      <c r="C269" s="1374"/>
      <c r="D269" s="1375"/>
      <c r="E269" s="1376"/>
      <c r="F269" s="389" t="s">
        <v>1426</v>
      </c>
      <c r="G269" s="1325"/>
      <c r="H269" s="1325"/>
      <c r="I269" s="1325"/>
      <c r="J269" s="1326"/>
      <c r="K269" s="1326"/>
      <c r="L269" s="1326"/>
      <c r="M269" s="1326"/>
      <c r="N269" s="1377"/>
      <c r="O269" s="219"/>
      <c r="P269" s="401"/>
      <c r="Q269" s="2"/>
      <c r="R269" s="33"/>
      <c r="S269" s="60"/>
      <c r="T269" s="60"/>
      <c r="U269" s="60"/>
      <c r="V269" s="60"/>
      <c r="W269" s="60"/>
    </row>
    <row r="270" spans="1:23" ht="15" customHeight="1" thickTop="1" x14ac:dyDescent="0.2">
      <c r="A270" s="1"/>
      <c r="B270" s="1725"/>
      <c r="C270" s="274"/>
      <c r="D270" s="389"/>
      <c r="E270" s="390"/>
      <c r="F270" s="1453"/>
      <c r="G270" s="230"/>
      <c r="H270" s="230"/>
      <c r="I270" s="219"/>
      <c r="J270" s="219"/>
      <c r="K270" s="219"/>
      <c r="L270" s="219"/>
      <c r="M270" s="219"/>
      <c r="N270" s="219"/>
      <c r="O270" s="219"/>
      <c r="P270" s="401"/>
      <c r="Q270" s="2"/>
      <c r="R270" s="60"/>
      <c r="S270" s="60"/>
      <c r="T270" s="60"/>
      <c r="U270" s="60"/>
      <c r="V270" s="60"/>
      <c r="W270" s="60"/>
    </row>
    <row r="271" spans="1:23" ht="15" customHeight="1" x14ac:dyDescent="0.2">
      <c r="A271" s="1"/>
      <c r="B271" s="388"/>
      <c r="C271" s="274"/>
      <c r="D271" s="387"/>
      <c r="E271" s="384"/>
      <c r="F271" s="385"/>
      <c r="G271" s="385"/>
      <c r="H271" s="385"/>
      <c r="I271" s="386"/>
      <c r="J271" s="219"/>
      <c r="K271" s="219"/>
      <c r="L271" s="219"/>
      <c r="M271" s="219"/>
      <c r="N271" s="219"/>
      <c r="O271" s="219"/>
      <c r="P271" s="401"/>
      <c r="Q271" s="2"/>
      <c r="R271" s="602"/>
      <c r="S271" s="60"/>
      <c r="T271" s="60"/>
      <c r="U271" s="60"/>
      <c r="V271" s="60"/>
      <c r="W271" s="60"/>
    </row>
    <row r="272" spans="1:23" ht="15" customHeight="1" x14ac:dyDescent="0.25">
      <c r="A272" s="1"/>
      <c r="B272" s="388"/>
      <c r="C272" s="274"/>
      <c r="D272" s="478" t="s">
        <v>1074</v>
      </c>
      <c r="E272" s="384"/>
      <c r="F272" s="385"/>
      <c r="G272" s="385"/>
      <c r="H272" s="385"/>
      <c r="I272" s="386"/>
      <c r="J272" s="219"/>
      <c r="K272" s="219"/>
      <c r="L272" s="219"/>
      <c r="M272" s="219"/>
      <c r="N272" s="219"/>
      <c r="O272" s="219"/>
      <c r="P272" s="401"/>
      <c r="Q272" s="2"/>
      <c r="R272" s="602"/>
      <c r="S272" s="60"/>
      <c r="T272" s="60"/>
      <c r="U272" s="60"/>
      <c r="V272" s="60"/>
      <c r="W272" s="60"/>
    </row>
    <row r="273" spans="1:23" ht="15" customHeight="1" thickBot="1" x14ac:dyDescent="0.3">
      <c r="A273" s="1"/>
      <c r="B273" s="1369"/>
      <c r="C273" s="1321"/>
      <c r="D273" s="1386"/>
      <c r="E273" s="1323"/>
      <c r="F273" s="1325"/>
      <c r="G273" s="1325"/>
      <c r="H273" s="1325"/>
      <c r="I273" s="1326"/>
      <c r="J273" s="1326"/>
      <c r="K273" s="1326"/>
      <c r="L273" s="1326"/>
      <c r="M273" s="1326"/>
      <c r="N273" s="1326"/>
      <c r="O273" s="219"/>
      <c r="P273" s="401"/>
      <c r="Q273" s="2"/>
      <c r="R273" s="33"/>
      <c r="S273" s="60"/>
      <c r="T273" s="60"/>
      <c r="U273" s="60"/>
      <c r="V273" s="60"/>
      <c r="W273" s="60"/>
    </row>
    <row r="274" spans="1:23" ht="16.5" customHeight="1" thickTop="1" x14ac:dyDescent="0.2">
      <c r="A274" s="1277"/>
      <c r="B274" s="1101" t="s">
        <v>701</v>
      </c>
      <c r="C274" s="1107"/>
      <c r="D274" s="1385"/>
      <c r="E274" s="1103" t="s">
        <v>702</v>
      </c>
      <c r="F274" s="1104"/>
      <c r="G274" s="1104"/>
      <c r="H274" s="1104"/>
      <c r="I274" s="1105"/>
      <c r="J274" s="1105"/>
      <c r="K274" s="1105"/>
      <c r="L274" s="1106"/>
      <c r="M274" s="1105"/>
      <c r="N274" s="1387"/>
      <c r="O274" s="219"/>
      <c r="P274" s="401"/>
      <c r="Q274" s="2"/>
      <c r="R274" s="33"/>
      <c r="S274" s="60"/>
      <c r="T274" s="60"/>
      <c r="U274" s="60"/>
      <c r="V274" s="60"/>
      <c r="W274" s="60"/>
    </row>
    <row r="275" spans="1:23" ht="16.5" customHeight="1" thickBot="1" x14ac:dyDescent="0.25">
      <c r="A275" s="1277"/>
      <c r="B275" s="1388" t="s">
        <v>38</v>
      </c>
      <c r="C275" s="1389"/>
      <c r="D275" s="1390">
        <f>Кювета</f>
        <v>25200</v>
      </c>
      <c r="E275" s="1391" t="s">
        <v>234</v>
      </c>
      <c r="F275" s="1392"/>
      <c r="G275" s="1392"/>
      <c r="H275" s="1392"/>
      <c r="I275" s="1393"/>
      <c r="J275" s="1393"/>
      <c r="K275" s="1393"/>
      <c r="L275" s="1393"/>
      <c r="M275" s="1393"/>
      <c r="N275" s="1394"/>
      <c r="O275" s="219"/>
      <c r="P275" s="401"/>
      <c r="Q275" s="2"/>
      <c r="R275" s="60"/>
      <c r="S275" s="60"/>
      <c r="T275" s="60"/>
      <c r="U275" s="60"/>
      <c r="V275" s="60"/>
      <c r="W275" s="60"/>
    </row>
    <row r="276" spans="1:23" ht="15" customHeight="1" thickTop="1" x14ac:dyDescent="0.2">
      <c r="A276" s="1"/>
      <c r="B276" s="388"/>
      <c r="C276" s="274"/>
      <c r="D276" s="389"/>
      <c r="E276" s="390"/>
      <c r="F276" s="230"/>
      <c r="G276" s="230"/>
      <c r="H276" s="230"/>
      <c r="I276" s="219"/>
      <c r="J276" s="219"/>
      <c r="K276" s="219"/>
      <c r="L276" s="219"/>
      <c r="M276" s="219"/>
      <c r="N276" s="219"/>
      <c r="O276" s="219"/>
      <c r="P276" s="401"/>
      <c r="Q276" s="2"/>
      <c r="R276" s="602"/>
      <c r="S276" s="60"/>
      <c r="T276" s="60"/>
      <c r="U276" s="60"/>
      <c r="V276" s="60"/>
      <c r="W276" s="60"/>
    </row>
    <row r="277" spans="1:23" ht="15" customHeight="1" x14ac:dyDescent="0.2">
      <c r="A277" s="1"/>
      <c r="B277" s="388"/>
      <c r="C277" s="274"/>
      <c r="D277" s="387"/>
      <c r="E277" s="384"/>
      <c r="F277" s="385"/>
      <c r="G277" s="385"/>
      <c r="H277" s="385"/>
      <c r="I277" s="386"/>
      <c r="J277" s="219"/>
      <c r="K277" s="219"/>
      <c r="L277" s="219"/>
      <c r="M277" s="219"/>
      <c r="N277" s="219"/>
      <c r="O277" s="219"/>
      <c r="P277" s="401"/>
      <c r="Q277" s="2"/>
      <c r="R277" s="33"/>
      <c r="S277" s="60"/>
      <c r="T277" s="60"/>
      <c r="U277" s="60"/>
      <c r="V277" s="60"/>
      <c r="W277" s="60"/>
    </row>
    <row r="278" spans="1:23" ht="15" customHeight="1" x14ac:dyDescent="0.25">
      <c r="A278" s="1"/>
      <c r="B278" s="388"/>
      <c r="C278" s="274"/>
      <c r="D278" s="478" t="s">
        <v>1075</v>
      </c>
      <c r="E278" s="384"/>
      <c r="F278" s="385"/>
      <c r="G278" s="385"/>
      <c r="H278" s="385"/>
      <c r="I278" s="386"/>
      <c r="J278" s="219"/>
      <c r="K278" s="219"/>
      <c r="L278" s="219"/>
      <c r="M278" s="219"/>
      <c r="N278" s="219"/>
      <c r="O278" s="219"/>
      <c r="P278" s="401"/>
      <c r="Q278" s="2"/>
      <c r="R278" s="60"/>
      <c r="S278" s="60"/>
      <c r="T278" s="60"/>
      <c r="U278" s="60"/>
      <c r="V278" s="60"/>
      <c r="W278" s="60"/>
    </row>
    <row r="279" spans="1:23" ht="15" customHeight="1" thickBot="1" x14ac:dyDescent="0.3">
      <c r="A279" s="1"/>
      <c r="B279" s="1369"/>
      <c r="C279" s="1321"/>
      <c r="D279" s="1386"/>
      <c r="E279" s="1323"/>
      <c r="F279" s="1325"/>
      <c r="G279" s="1325"/>
      <c r="H279" s="1325"/>
      <c r="I279" s="1326"/>
      <c r="J279" s="1326"/>
      <c r="K279" s="1326"/>
      <c r="L279" s="1326"/>
      <c r="M279" s="1326"/>
      <c r="N279" s="1326"/>
      <c r="O279" s="219"/>
      <c r="P279" s="401"/>
      <c r="Q279" s="2"/>
      <c r="R279" s="33"/>
      <c r="S279" s="60"/>
      <c r="T279" s="60"/>
      <c r="U279" s="60"/>
      <c r="V279" s="60"/>
      <c r="W279" s="60"/>
    </row>
    <row r="280" spans="1:23" ht="16.5" customHeight="1" thickTop="1" x14ac:dyDescent="0.2">
      <c r="A280" s="1277"/>
      <c r="B280" s="1101" t="s">
        <v>701</v>
      </c>
      <c r="C280" s="1107"/>
      <c r="D280" s="1385"/>
      <c r="E280" s="1103" t="s">
        <v>702</v>
      </c>
      <c r="F280" s="1104"/>
      <c r="G280" s="1104"/>
      <c r="H280" s="1104"/>
      <c r="I280" s="1105"/>
      <c r="J280" s="1105"/>
      <c r="K280" s="1105"/>
      <c r="L280" s="1106"/>
      <c r="M280" s="1105"/>
      <c r="N280" s="1387"/>
      <c r="O280" s="219"/>
      <c r="P280" s="401"/>
      <c r="Q280" s="2"/>
      <c r="R280" s="602"/>
      <c r="S280" s="60"/>
      <c r="T280" s="60"/>
      <c r="U280" s="60"/>
      <c r="V280" s="60"/>
      <c r="W280" s="60"/>
    </row>
    <row r="281" spans="1:23" ht="16.5" customHeight="1" x14ac:dyDescent="0.2">
      <c r="A281" s="1277"/>
      <c r="B281" s="915" t="s">
        <v>1076</v>
      </c>
      <c r="C281" s="1253"/>
      <c r="D281" s="1261">
        <f>АС801</f>
        <v>58800</v>
      </c>
      <c r="E281" s="223" t="s">
        <v>1077</v>
      </c>
      <c r="F281" s="380"/>
      <c r="G281" s="380"/>
      <c r="H281" s="380"/>
      <c r="I281" s="379"/>
      <c r="J281" s="379"/>
      <c r="K281" s="379"/>
      <c r="L281" s="541"/>
      <c r="M281" s="541"/>
      <c r="N281" s="1395"/>
      <c r="O281" s="219"/>
      <c r="P281" s="401"/>
      <c r="Q281" s="2"/>
      <c r="R281" s="33"/>
      <c r="S281" s="60"/>
      <c r="T281" s="60"/>
      <c r="U281" s="60"/>
      <c r="V281" s="60"/>
      <c r="W281" s="60"/>
    </row>
    <row r="282" spans="1:23" ht="16.5" customHeight="1" x14ac:dyDescent="0.2">
      <c r="A282" s="1277"/>
      <c r="B282" s="900" t="s">
        <v>118</v>
      </c>
      <c r="C282" s="1332"/>
      <c r="D282" s="1177">
        <f>АС803</f>
        <v>78400</v>
      </c>
      <c r="E282" s="1333" t="s">
        <v>980</v>
      </c>
      <c r="F282" s="383"/>
      <c r="G282" s="383"/>
      <c r="H282" s="383"/>
      <c r="I282" s="382"/>
      <c r="J282" s="382"/>
      <c r="K282" s="382"/>
      <c r="L282" s="382"/>
      <c r="M282" s="382"/>
      <c r="N282" s="1343"/>
      <c r="O282" s="219"/>
      <c r="P282" s="401"/>
      <c r="Q282" s="2"/>
      <c r="R282" s="60"/>
      <c r="S282" s="60"/>
      <c r="T282" s="60"/>
      <c r="U282" s="60"/>
      <c r="V282" s="60"/>
      <c r="W282" s="60"/>
    </row>
    <row r="283" spans="1:23" ht="16.5" customHeight="1" x14ac:dyDescent="0.2">
      <c r="A283" s="1277"/>
      <c r="B283" s="1053" t="s">
        <v>981</v>
      </c>
      <c r="C283" s="1259"/>
      <c r="D283" s="1262">
        <f>АС805</f>
        <v>140000</v>
      </c>
      <c r="E283" s="1260" t="s">
        <v>982</v>
      </c>
      <c r="F283" s="1066"/>
      <c r="G283" s="1066"/>
      <c r="H283" s="1066"/>
      <c r="I283" s="1067"/>
      <c r="J283" s="1068"/>
      <c r="K283" s="1068"/>
      <c r="L283" s="1068"/>
      <c r="M283" s="1069"/>
      <c r="N283" s="1396"/>
      <c r="O283" s="219"/>
      <c r="P283" s="401"/>
      <c r="Q283" s="2"/>
      <c r="R283" s="33"/>
      <c r="S283" s="60"/>
      <c r="T283" s="60"/>
      <c r="U283" s="60"/>
      <c r="V283" s="60"/>
      <c r="W283" s="60"/>
    </row>
    <row r="284" spans="1:23" ht="16.5" customHeight="1" thickBot="1" x14ac:dyDescent="0.25">
      <c r="A284" s="1277"/>
      <c r="B284" s="1397"/>
      <c r="C284" s="1398"/>
      <c r="D284" s="1399"/>
      <c r="E284" s="1400"/>
      <c r="F284" s="1401"/>
      <c r="G284" s="1401"/>
      <c r="H284" s="1401"/>
      <c r="I284" s="1402"/>
      <c r="J284" s="1402"/>
      <c r="K284" s="1402"/>
      <c r="L284" s="1402"/>
      <c r="M284" s="1402"/>
      <c r="N284" s="1403"/>
      <c r="O284" s="219"/>
      <c r="P284" s="401"/>
      <c r="Q284" s="2"/>
      <c r="R284" s="33"/>
      <c r="S284" s="60"/>
      <c r="T284" s="60"/>
      <c r="U284" s="60"/>
      <c r="V284" s="60"/>
      <c r="W284" s="60"/>
    </row>
    <row r="285" spans="1:23" ht="15" customHeight="1" thickTop="1" x14ac:dyDescent="0.2">
      <c r="A285" s="1"/>
      <c r="B285" s="388"/>
      <c r="C285" s="274"/>
      <c r="D285" s="389"/>
      <c r="E285" s="390"/>
      <c r="F285" s="230"/>
      <c r="G285" s="230"/>
      <c r="H285" s="230"/>
      <c r="I285" s="219"/>
      <c r="J285" s="219"/>
      <c r="K285" s="219"/>
      <c r="L285" s="219"/>
      <c r="M285" s="219"/>
      <c r="N285" s="219"/>
      <c r="O285" s="404"/>
      <c r="P285" s="229"/>
      <c r="Q285" s="34"/>
      <c r="R285" s="60"/>
      <c r="S285" s="60"/>
      <c r="T285" s="60"/>
      <c r="U285" s="10"/>
      <c r="V285" s="10"/>
      <c r="W285" s="10"/>
    </row>
    <row r="286" spans="1:23" ht="15" customHeight="1" x14ac:dyDescent="0.2">
      <c r="A286" s="1"/>
      <c r="B286" s="1"/>
      <c r="C286" s="230"/>
      <c r="D286" s="392"/>
      <c r="E286" s="2"/>
      <c r="F286" s="230"/>
      <c r="G286" s="230"/>
      <c r="H286" s="230"/>
      <c r="I286" s="219"/>
      <c r="J286" s="219"/>
      <c r="K286" s="219"/>
      <c r="L286" s="219"/>
      <c r="M286" s="219"/>
      <c r="N286" s="219"/>
      <c r="O286" s="404"/>
      <c r="P286" s="229"/>
      <c r="Q286" s="34"/>
      <c r="R286" s="602"/>
      <c r="S286" s="60"/>
      <c r="T286" s="60"/>
      <c r="U286" s="10"/>
      <c r="V286" s="10"/>
      <c r="W286" s="10"/>
    </row>
    <row r="287" spans="1:23" ht="15" customHeight="1" x14ac:dyDescent="0.2">
      <c r="A287" s="1"/>
      <c r="B287" s="1"/>
      <c r="C287" s="230"/>
      <c r="D287" s="385"/>
      <c r="E287" s="480"/>
      <c r="F287" s="385"/>
      <c r="G287" s="385"/>
      <c r="H287" s="385"/>
      <c r="I287" s="386"/>
      <c r="J287" s="386"/>
      <c r="K287" s="386"/>
      <c r="L287" s="219"/>
      <c r="M287" s="219"/>
      <c r="N287" s="219"/>
      <c r="O287" s="404"/>
      <c r="P287" s="229"/>
      <c r="Q287" s="34"/>
      <c r="R287" s="33"/>
      <c r="S287" s="60"/>
      <c r="T287" s="60"/>
      <c r="U287" s="10"/>
      <c r="V287" s="10"/>
      <c r="W287" s="10"/>
    </row>
    <row r="288" spans="1:23" ht="15" customHeight="1" x14ac:dyDescent="0.25">
      <c r="A288" s="1"/>
      <c r="B288" s="1"/>
      <c r="C288" s="230"/>
      <c r="D288" s="478" t="s">
        <v>866</v>
      </c>
      <c r="E288" s="480"/>
      <c r="F288" s="385"/>
      <c r="G288" s="385"/>
      <c r="H288" s="385"/>
      <c r="I288" s="386"/>
      <c r="J288" s="386"/>
      <c r="K288" s="386"/>
      <c r="L288" s="219"/>
      <c r="M288" s="219"/>
      <c r="N288" s="219"/>
      <c r="O288" s="404"/>
      <c r="P288" s="229"/>
      <c r="Q288" s="34"/>
      <c r="R288" s="33"/>
      <c r="S288" s="60"/>
      <c r="T288" s="60"/>
      <c r="U288" s="10"/>
      <c r="V288" s="10"/>
      <c r="W288" s="10"/>
    </row>
    <row r="289" spans="1:23" ht="15" customHeight="1" thickBot="1" x14ac:dyDescent="0.25">
      <c r="A289" s="1"/>
      <c r="B289" s="1327"/>
      <c r="C289" s="1325"/>
      <c r="D289" s="1325"/>
      <c r="E289" s="1327"/>
      <c r="F289" s="1325"/>
      <c r="G289" s="1325"/>
      <c r="H289" s="1325"/>
      <c r="I289" s="1326"/>
      <c r="J289" s="1326"/>
      <c r="K289" s="1326"/>
      <c r="L289" s="1326"/>
      <c r="M289" s="1326"/>
      <c r="N289" s="1326"/>
      <c r="O289" s="404"/>
      <c r="P289" s="229"/>
      <c r="Q289" s="34"/>
      <c r="R289" s="33"/>
      <c r="S289" s="60"/>
      <c r="T289" s="60"/>
      <c r="U289" s="10"/>
      <c r="V289" s="10"/>
      <c r="W289" s="10"/>
    </row>
    <row r="290" spans="1:23" ht="16.5" customHeight="1" thickTop="1" x14ac:dyDescent="0.2">
      <c r="A290" s="1277"/>
      <c r="B290" s="1405" t="s">
        <v>1313</v>
      </c>
      <c r="C290" s="1102" t="s">
        <v>700</v>
      </c>
      <c r="D290" s="1406"/>
      <c r="E290" s="1405" t="s">
        <v>1313</v>
      </c>
      <c r="F290" s="1102" t="s">
        <v>314</v>
      </c>
      <c r="G290" s="922"/>
      <c r="H290" s="1407"/>
      <c r="I290" s="1406"/>
      <c r="J290" s="1408"/>
      <c r="K290" s="1106" t="s">
        <v>697</v>
      </c>
      <c r="L290" s="1106"/>
      <c r="M290" s="1105"/>
      <c r="N290" s="1409"/>
      <c r="O290" s="404"/>
      <c r="P290" s="229"/>
      <c r="Q290" s="34"/>
      <c r="R290" s="33"/>
      <c r="S290" s="60"/>
      <c r="T290" s="60"/>
      <c r="U290" s="10"/>
      <c r="V290" s="10"/>
      <c r="W290" s="10"/>
    </row>
    <row r="291" spans="1:23" ht="16.5" customHeight="1" x14ac:dyDescent="0.2">
      <c r="A291" s="1277"/>
      <c r="B291" s="1210">
        <v>15</v>
      </c>
      <c r="C291" s="1458" t="s">
        <v>983</v>
      </c>
      <c r="D291" s="1443">
        <f>КОФ_15</f>
        <v>2100</v>
      </c>
      <c r="E291" s="1028">
        <v>250</v>
      </c>
      <c r="F291" s="1054" t="s">
        <v>872</v>
      </c>
      <c r="G291" s="1455"/>
      <c r="H291" s="1456"/>
      <c r="I291" s="1265">
        <f>КОФ_250</f>
        <v>17500</v>
      </c>
      <c r="J291" s="1056"/>
      <c r="K291" s="377"/>
      <c r="L291" s="431"/>
      <c r="M291" s="219"/>
      <c r="N291" s="1410"/>
      <c r="O291" s="404"/>
      <c r="P291" s="229"/>
      <c r="Q291" s="34"/>
      <c r="R291" s="60"/>
      <c r="S291" s="60"/>
      <c r="T291" s="60"/>
      <c r="U291" s="10"/>
      <c r="V291" s="10"/>
      <c r="W291" s="10"/>
    </row>
    <row r="292" spans="1:23" ht="16.5" customHeight="1" x14ac:dyDescent="0.2">
      <c r="A292" s="1277"/>
      <c r="B292" s="1219">
        <v>20</v>
      </c>
      <c r="C292" s="1459" t="s">
        <v>807</v>
      </c>
      <c r="D292" s="1460">
        <f>КОФ_25</f>
        <v>2520</v>
      </c>
      <c r="E292" s="1029">
        <v>300</v>
      </c>
      <c r="F292" s="1445" t="s">
        <v>1318</v>
      </c>
      <c r="G292" s="1446"/>
      <c r="H292" s="1457"/>
      <c r="I292" s="1443">
        <f>КОФ_300</f>
        <v>21000</v>
      </c>
      <c r="J292" s="1056" t="s">
        <v>684</v>
      </c>
      <c r="K292" s="377"/>
      <c r="L292" s="431"/>
      <c r="M292" s="219"/>
      <c r="N292" s="1410"/>
      <c r="O292" s="404"/>
      <c r="P292" s="229"/>
      <c r="Q292" s="34"/>
      <c r="R292" s="33"/>
      <c r="S292" s="60"/>
      <c r="T292" s="60"/>
      <c r="U292" s="10"/>
      <c r="V292" s="10"/>
      <c r="W292" s="10"/>
    </row>
    <row r="293" spans="1:23" ht="16.5" customHeight="1" x14ac:dyDescent="0.2">
      <c r="A293" s="1277"/>
      <c r="B293" s="1210">
        <v>25</v>
      </c>
      <c r="C293" s="1442" t="s">
        <v>867</v>
      </c>
      <c r="D293" s="1443">
        <f>КОФ_25</f>
        <v>2520</v>
      </c>
      <c r="E293" s="1028">
        <v>350</v>
      </c>
      <c r="F293" s="1054" t="s">
        <v>1319</v>
      </c>
      <c r="G293" s="511"/>
      <c r="H293" s="1266"/>
      <c r="I293" s="1265">
        <f>КОФ_350</f>
        <v>26320</v>
      </c>
      <c r="J293" s="376" t="s">
        <v>1009</v>
      </c>
      <c r="K293" s="377"/>
      <c r="L293" s="254"/>
      <c r="M293" s="219"/>
      <c r="N293" s="1357"/>
      <c r="O293" s="404"/>
      <c r="P293" s="229"/>
      <c r="Q293" s="34"/>
      <c r="R293" s="33"/>
      <c r="S293" s="60"/>
      <c r="T293" s="60"/>
      <c r="U293" s="10"/>
      <c r="V293" s="10"/>
      <c r="W293" s="10"/>
    </row>
    <row r="294" spans="1:23" ht="16.5" customHeight="1" x14ac:dyDescent="0.2">
      <c r="A294" s="1277"/>
      <c r="B294" s="1404">
        <v>32</v>
      </c>
      <c r="C294" s="1264" t="s">
        <v>868</v>
      </c>
      <c r="D294" s="1263">
        <f>КОФ_32</f>
        <v>2800</v>
      </c>
      <c r="E294" s="1029">
        <v>400</v>
      </c>
      <c r="F294" s="1447" t="s">
        <v>873</v>
      </c>
      <c r="G294" s="1446"/>
      <c r="H294" s="1448"/>
      <c r="I294" s="1444">
        <f>КОФ_400</f>
        <v>31500</v>
      </c>
      <c r="J294" s="1057" t="s">
        <v>90</v>
      </c>
      <c r="K294" s="377"/>
      <c r="L294" s="254"/>
      <c r="M294" s="219"/>
      <c r="N294" s="1357"/>
      <c r="O294" s="404"/>
      <c r="P294" s="229"/>
      <c r="Q294" s="34"/>
      <c r="R294" s="33"/>
      <c r="S294" s="60"/>
      <c r="T294" s="60"/>
      <c r="U294" s="10"/>
      <c r="V294" s="10"/>
      <c r="W294" s="10"/>
    </row>
    <row r="295" spans="1:23" ht="16.5" customHeight="1" x14ac:dyDescent="0.2">
      <c r="A295" s="1277"/>
      <c r="B295" s="1210">
        <v>40</v>
      </c>
      <c r="C295" s="1442" t="s">
        <v>869</v>
      </c>
      <c r="D295" s="1444">
        <f>КОФ_40</f>
        <v>2800</v>
      </c>
      <c r="E295" s="1028">
        <v>500</v>
      </c>
      <c r="F295" s="1054" t="s">
        <v>874</v>
      </c>
      <c r="G295" s="511"/>
      <c r="H295" s="1267"/>
      <c r="I295" s="1058">
        <f>КОФ_500</f>
        <v>43820</v>
      </c>
      <c r="J295" s="500" t="s">
        <v>1008</v>
      </c>
      <c r="K295" s="501"/>
      <c r="L295" s="254"/>
      <c r="M295" s="219"/>
      <c r="N295" s="1357"/>
      <c r="O295" s="404"/>
      <c r="P295" s="229"/>
      <c r="Q295" s="34"/>
      <c r="R295" s="60"/>
      <c r="S295" s="60"/>
      <c r="T295" s="60"/>
      <c r="U295" s="10"/>
      <c r="V295" s="10"/>
      <c r="W295" s="10"/>
    </row>
    <row r="296" spans="1:23" ht="16.5" customHeight="1" x14ac:dyDescent="0.2">
      <c r="A296" s="1277"/>
      <c r="B296" s="1404">
        <v>50</v>
      </c>
      <c r="C296" s="1264" t="s">
        <v>1089</v>
      </c>
      <c r="D296" s="1263">
        <f>КОФ_50</f>
        <v>3500</v>
      </c>
      <c r="E296" s="1029">
        <v>600</v>
      </c>
      <c r="F296" s="1445" t="s">
        <v>875</v>
      </c>
      <c r="G296" s="1446"/>
      <c r="H296" s="1448"/>
      <c r="I296" s="1444">
        <f>КОФ_600</f>
        <v>70000</v>
      </c>
      <c r="J296" s="24" t="s">
        <v>91</v>
      </c>
      <c r="K296" s="219"/>
      <c r="L296" s="254"/>
      <c r="M296" s="219"/>
      <c r="N296" s="1357"/>
      <c r="O296" s="404"/>
      <c r="P296" s="229"/>
      <c r="Q296" s="34"/>
      <c r="R296" s="602"/>
      <c r="S296" s="60"/>
      <c r="T296" s="60"/>
      <c r="U296" s="10"/>
      <c r="V296" s="10"/>
      <c r="W296" s="10"/>
    </row>
    <row r="297" spans="1:23" ht="16.5" customHeight="1" x14ac:dyDescent="0.2">
      <c r="A297" s="1277"/>
      <c r="B297" s="1210">
        <v>65</v>
      </c>
      <c r="C297" s="1442" t="s">
        <v>870</v>
      </c>
      <c r="D297" s="1444">
        <f>КОФ_65</f>
        <v>3920</v>
      </c>
      <c r="E297" s="1028">
        <v>700</v>
      </c>
      <c r="F297" s="1055" t="s">
        <v>876</v>
      </c>
      <c r="G297" s="550"/>
      <c r="H297" s="1267"/>
      <c r="I297" s="1058">
        <f>КОФ_700</f>
        <v>87500</v>
      </c>
      <c r="J297" s="254"/>
      <c r="K297" s="219"/>
      <c r="L297" s="254"/>
      <c r="M297" s="219"/>
      <c r="N297" s="1357"/>
      <c r="O297" s="404"/>
      <c r="P297" s="229"/>
      <c r="Q297" s="34"/>
      <c r="R297" s="602"/>
      <c r="S297" s="60"/>
      <c r="T297" s="60"/>
      <c r="U297" s="10"/>
      <c r="V297" s="10"/>
      <c r="W297" s="10"/>
    </row>
    <row r="298" spans="1:23" ht="16.5" customHeight="1" x14ac:dyDescent="0.2">
      <c r="A298" s="1277"/>
      <c r="B298" s="1404">
        <v>80</v>
      </c>
      <c r="C298" s="1264" t="s">
        <v>1090</v>
      </c>
      <c r="D298" s="1263">
        <f>КОФ_80</f>
        <v>3920</v>
      </c>
      <c r="E298" s="1029">
        <v>800</v>
      </c>
      <c r="F298" s="1445" t="s">
        <v>1320</v>
      </c>
      <c r="G298" s="1446"/>
      <c r="H298" s="1448"/>
      <c r="I298" s="1444">
        <f>КОФ_800</f>
        <v>122500</v>
      </c>
      <c r="J298" s="229"/>
      <c r="K298" s="219"/>
      <c r="L298" s="254"/>
      <c r="M298" s="219"/>
      <c r="N298" s="1357"/>
      <c r="O298" s="404"/>
      <c r="P298" s="229"/>
      <c r="Q298" s="34"/>
      <c r="R298" s="33"/>
      <c r="S298" s="60"/>
      <c r="T298" s="60"/>
      <c r="U298" s="10"/>
      <c r="V298" s="10"/>
      <c r="W298" s="10"/>
    </row>
    <row r="299" spans="1:23" ht="16.5" customHeight="1" x14ac:dyDescent="0.2">
      <c r="A299" s="1277"/>
      <c r="B299" s="1210">
        <v>100</v>
      </c>
      <c r="C299" s="1442" t="s">
        <v>871</v>
      </c>
      <c r="D299" s="1444">
        <f>КОФ_100</f>
        <v>4620</v>
      </c>
      <c r="E299" s="1028">
        <v>900</v>
      </c>
      <c r="F299" s="1054" t="s">
        <v>877</v>
      </c>
      <c r="G299" s="550"/>
      <c r="H299" s="1267"/>
      <c r="I299" s="1058">
        <f>КОФ_900</f>
        <v>168000</v>
      </c>
      <c r="J299" s="229" t="s">
        <v>808</v>
      </c>
      <c r="K299" s="219"/>
      <c r="L299" s="254"/>
      <c r="M299" s="219"/>
      <c r="N299" s="1357"/>
      <c r="O299" s="404"/>
      <c r="P299" s="229"/>
      <c r="Q299" s="34"/>
      <c r="R299" s="33"/>
      <c r="S299" s="60"/>
      <c r="T299" s="60"/>
      <c r="U299" s="10"/>
      <c r="V299" s="10"/>
      <c r="W299" s="10"/>
    </row>
    <row r="300" spans="1:23" ht="16.5" customHeight="1" x14ac:dyDescent="0.2">
      <c r="A300" s="1277"/>
      <c r="B300" s="1404">
        <v>125</v>
      </c>
      <c r="C300" s="1264" t="s">
        <v>1011</v>
      </c>
      <c r="D300" s="1263">
        <f>КОФ_150</f>
        <v>7000</v>
      </c>
      <c r="E300" s="1029">
        <v>1000</v>
      </c>
      <c r="F300" s="1445" t="s">
        <v>1005</v>
      </c>
      <c r="G300" s="1446"/>
      <c r="H300" s="1448"/>
      <c r="I300" s="1444">
        <f>КОФ_1000</f>
        <v>192500</v>
      </c>
      <c r="J300" s="229" t="s">
        <v>1010</v>
      </c>
      <c r="K300" s="219"/>
      <c r="L300" s="254"/>
      <c r="M300" s="219"/>
      <c r="N300" s="1357"/>
      <c r="O300" s="404"/>
      <c r="P300" s="229"/>
      <c r="Q300" s="34"/>
      <c r="R300" s="33"/>
      <c r="S300" s="60"/>
      <c r="T300" s="60"/>
      <c r="U300" s="10"/>
      <c r="V300" s="10"/>
      <c r="W300" s="10"/>
    </row>
    <row r="301" spans="1:23" ht="16.5" customHeight="1" x14ac:dyDescent="0.2">
      <c r="A301" s="1277"/>
      <c r="B301" s="1210">
        <v>150</v>
      </c>
      <c r="C301" s="1442" t="s">
        <v>1012</v>
      </c>
      <c r="D301" s="1444">
        <f>КОФ_150</f>
        <v>7000</v>
      </c>
      <c r="E301" s="1028">
        <v>1200</v>
      </c>
      <c r="F301" s="1054" t="s">
        <v>1006</v>
      </c>
      <c r="G301" s="550"/>
      <c r="H301" s="1267"/>
      <c r="I301" s="1265" t="str">
        <f>КОФ_1200</f>
        <v>по запросу</v>
      </c>
      <c r="J301" s="254"/>
      <c r="K301" s="219"/>
      <c r="L301" s="254"/>
      <c r="M301" s="219"/>
      <c r="N301" s="1357"/>
      <c r="O301" s="404"/>
      <c r="P301" s="229"/>
      <c r="Q301" s="34"/>
      <c r="R301" s="60"/>
      <c r="S301" s="60"/>
      <c r="T301" s="60"/>
      <c r="U301" s="10"/>
      <c r="V301" s="10"/>
      <c r="W301" s="10"/>
    </row>
    <row r="302" spans="1:23" ht="16.5" customHeight="1" thickBot="1" x14ac:dyDescent="0.25">
      <c r="A302" s="1277"/>
      <c r="B302" s="1411">
        <v>200</v>
      </c>
      <c r="C302" s="1412" t="s">
        <v>1317</v>
      </c>
      <c r="D302" s="1413">
        <f>КОФ_200</f>
        <v>12320</v>
      </c>
      <c r="E302" s="1449">
        <v>1400</v>
      </c>
      <c r="F302" s="1450" t="s">
        <v>1007</v>
      </c>
      <c r="G302" s="1451"/>
      <c r="H302" s="1452"/>
      <c r="I302" s="1486" t="str">
        <f>КОФ_1400</f>
        <v>по запросу</v>
      </c>
      <c r="J302" s="1381"/>
      <c r="K302" s="1326"/>
      <c r="L302" s="1381"/>
      <c r="M302" s="1326"/>
      <c r="N302" s="1414"/>
      <c r="O302" s="404"/>
      <c r="P302" s="229"/>
      <c r="Q302" s="34"/>
      <c r="R302" s="33"/>
      <c r="S302" s="60"/>
      <c r="T302" s="60"/>
      <c r="U302" s="10"/>
      <c r="V302" s="10"/>
      <c r="W302" s="10"/>
    </row>
    <row r="303" spans="1:23" ht="15" customHeight="1" thickTop="1" x14ac:dyDescent="0.2">
      <c r="A303" s="1"/>
      <c r="B303" s="388"/>
      <c r="C303" s="274"/>
      <c r="D303" s="389"/>
      <c r="E303" s="390"/>
      <c r="F303" s="230"/>
      <c r="G303" s="230"/>
      <c r="H303" s="230"/>
      <c r="I303" s="219"/>
      <c r="J303" s="219"/>
      <c r="K303" s="219"/>
      <c r="L303" s="219"/>
      <c r="M303" s="219"/>
      <c r="N303" s="219"/>
      <c r="O303" s="404"/>
      <c r="P303" s="229"/>
      <c r="Q303" s="34"/>
      <c r="R303" s="33"/>
      <c r="S303" s="60"/>
      <c r="T303" s="60"/>
      <c r="U303" s="10"/>
      <c r="V303" s="10"/>
      <c r="W303" s="10"/>
    </row>
    <row r="304" spans="1:23" ht="15" customHeight="1" x14ac:dyDescent="0.2">
      <c r="A304" s="1"/>
      <c r="B304" s="1"/>
      <c r="C304" s="230"/>
      <c r="D304" s="392"/>
      <c r="E304" s="2"/>
      <c r="F304" s="230"/>
      <c r="G304" s="230"/>
      <c r="H304" s="230"/>
      <c r="I304" s="219"/>
      <c r="J304" s="219"/>
      <c r="K304" s="219"/>
      <c r="L304" s="219"/>
      <c r="M304" s="219"/>
      <c r="N304" s="219"/>
      <c r="O304" s="404"/>
      <c r="P304" s="229"/>
      <c r="Q304" s="34"/>
      <c r="R304" s="60"/>
      <c r="S304" s="60"/>
      <c r="T304" s="60"/>
      <c r="U304" s="10"/>
      <c r="V304" s="10"/>
      <c r="W304" s="10"/>
    </row>
    <row r="305" spans="1:23" ht="15" customHeight="1" x14ac:dyDescent="0.2">
      <c r="A305" s="1"/>
      <c r="B305" s="1"/>
      <c r="C305" s="230"/>
      <c r="D305" s="385"/>
      <c r="E305" s="480"/>
      <c r="F305" s="385"/>
      <c r="G305" s="385"/>
      <c r="H305" s="385"/>
      <c r="I305" s="386"/>
      <c r="J305" s="386"/>
      <c r="K305" s="386"/>
      <c r="L305" s="219"/>
      <c r="M305" s="219"/>
      <c r="N305" s="219"/>
      <c r="O305" s="404"/>
      <c r="P305" s="229"/>
      <c r="Q305" s="34"/>
      <c r="R305" s="602"/>
      <c r="S305" s="60"/>
      <c r="T305" s="60"/>
      <c r="U305" s="10"/>
      <c r="V305" s="10"/>
      <c r="W305" s="10"/>
    </row>
    <row r="306" spans="1:23" ht="15" customHeight="1" x14ac:dyDescent="0.25">
      <c r="A306" s="1"/>
      <c r="B306" s="1"/>
      <c r="C306" s="230"/>
      <c r="D306" s="478" t="s">
        <v>315</v>
      </c>
      <c r="E306" s="480"/>
      <c r="F306" s="385"/>
      <c r="G306" s="385"/>
      <c r="H306" s="385"/>
      <c r="I306" s="386"/>
      <c r="J306" s="386"/>
      <c r="K306" s="386"/>
      <c r="L306" s="219"/>
      <c r="M306" s="219"/>
      <c r="N306" s="219"/>
      <c r="O306" s="404"/>
      <c r="P306" s="229"/>
      <c r="Q306" s="34"/>
      <c r="R306" s="33"/>
      <c r="S306" s="60"/>
      <c r="T306" s="60"/>
      <c r="U306" s="10"/>
      <c r="V306" s="10"/>
      <c r="W306" s="10"/>
    </row>
    <row r="307" spans="1:23" ht="15" customHeight="1" thickBot="1" x14ac:dyDescent="0.25">
      <c r="A307" s="1"/>
      <c r="B307" s="1327"/>
      <c r="C307" s="1325"/>
      <c r="D307" s="1325"/>
      <c r="E307" s="1327"/>
      <c r="F307" s="1325"/>
      <c r="G307" s="1325"/>
      <c r="H307" s="1325"/>
      <c r="I307" s="1326"/>
      <c r="J307" s="1326"/>
      <c r="K307" s="1326"/>
      <c r="L307" s="1326"/>
      <c r="M307" s="1326"/>
      <c r="N307" s="1326"/>
      <c r="O307" s="404"/>
      <c r="P307" s="229"/>
      <c r="Q307" s="34"/>
      <c r="R307" s="603"/>
      <c r="S307" s="60"/>
      <c r="T307" s="60"/>
      <c r="U307" s="10"/>
      <c r="V307" s="10"/>
      <c r="W307" s="10"/>
    </row>
    <row r="308" spans="1:23" ht="16.5" customHeight="1" thickTop="1" x14ac:dyDescent="0.2">
      <c r="A308" s="1277"/>
      <c r="B308" s="1405" t="s">
        <v>1313</v>
      </c>
      <c r="C308" s="1102" t="s">
        <v>700</v>
      </c>
      <c r="D308" s="1406"/>
      <c r="E308" s="1405" t="s">
        <v>1313</v>
      </c>
      <c r="F308" s="1102" t="s">
        <v>314</v>
      </c>
      <c r="G308" s="922"/>
      <c r="H308" s="1407"/>
      <c r="I308" s="1406"/>
      <c r="J308" s="1408"/>
      <c r="K308" s="1106" t="s">
        <v>697</v>
      </c>
      <c r="L308" s="1106"/>
      <c r="M308" s="1105"/>
      <c r="N308" s="1409"/>
      <c r="O308" s="404"/>
      <c r="P308" s="229"/>
      <c r="Q308" s="34"/>
      <c r="R308" s="572"/>
      <c r="S308" s="60"/>
      <c r="T308" s="60"/>
      <c r="U308" s="10"/>
      <c r="V308" s="10"/>
      <c r="W308" s="10"/>
    </row>
    <row r="309" spans="1:23" ht="16.5" customHeight="1" x14ac:dyDescent="0.2">
      <c r="A309" s="1277"/>
      <c r="B309" s="1210">
        <v>15</v>
      </c>
      <c r="C309" s="1458" t="s">
        <v>95</v>
      </c>
      <c r="D309" s="1469">
        <f>ящ_15</f>
        <v>1400</v>
      </c>
      <c r="E309" s="1219">
        <v>250</v>
      </c>
      <c r="F309" s="1463" t="s">
        <v>102</v>
      </c>
      <c r="G309" s="1464"/>
      <c r="H309" s="1465"/>
      <c r="I309" s="1460">
        <f>ящ_250</f>
        <v>2800</v>
      </c>
      <c r="J309" s="1056"/>
      <c r="K309" s="377"/>
      <c r="L309" s="431"/>
      <c r="M309" s="219"/>
      <c r="N309" s="1410"/>
      <c r="O309" s="404"/>
      <c r="P309" s="229"/>
      <c r="Q309" s="34"/>
      <c r="R309" s="33"/>
      <c r="S309" s="60"/>
      <c r="T309" s="60"/>
      <c r="U309" s="10"/>
      <c r="V309" s="10"/>
      <c r="W309" s="10"/>
    </row>
    <row r="310" spans="1:23" ht="16.5" customHeight="1" x14ac:dyDescent="0.2">
      <c r="A310" s="1277"/>
      <c r="B310" s="1219">
        <v>20</v>
      </c>
      <c r="C310" s="1459" t="s">
        <v>1042</v>
      </c>
      <c r="D310" s="1470">
        <f>ящ_25</f>
        <v>1400</v>
      </c>
      <c r="E310" s="1210">
        <v>300</v>
      </c>
      <c r="F310" s="1447" t="s">
        <v>105</v>
      </c>
      <c r="G310" s="1446"/>
      <c r="H310" s="1457"/>
      <c r="I310" s="1443">
        <f>ящ_300</f>
        <v>2800</v>
      </c>
      <c r="J310" s="1056" t="s">
        <v>89</v>
      </c>
      <c r="K310" s="377"/>
      <c r="L310" s="431"/>
      <c r="M310" s="219"/>
      <c r="N310" s="1410"/>
      <c r="O310" s="404"/>
      <c r="P310" s="229"/>
      <c r="Q310" s="34"/>
      <c r="R310" s="593"/>
      <c r="S310" s="60"/>
      <c r="T310" s="60"/>
      <c r="U310" s="10"/>
      <c r="V310" s="10"/>
      <c r="W310" s="10"/>
    </row>
    <row r="311" spans="1:23" ht="16.5" customHeight="1" x14ac:dyDescent="0.2">
      <c r="A311" s="1277"/>
      <c r="B311" s="1210">
        <v>25</v>
      </c>
      <c r="C311" s="1442" t="s">
        <v>104</v>
      </c>
      <c r="D311" s="1471">
        <f>ящ_25</f>
        <v>1400</v>
      </c>
      <c r="E311" s="1404">
        <v>350</v>
      </c>
      <c r="F311" s="1054" t="s">
        <v>106</v>
      </c>
      <c r="G311" s="550"/>
      <c r="H311" s="1266"/>
      <c r="I311" s="1265">
        <f>ящ_350</f>
        <v>2800</v>
      </c>
      <c r="J311" s="376" t="s">
        <v>92</v>
      </c>
      <c r="K311" s="377"/>
      <c r="L311" s="254"/>
      <c r="M311" s="219"/>
      <c r="N311" s="1357"/>
      <c r="O311" s="404"/>
      <c r="P311" s="229"/>
      <c r="Q311" s="34"/>
      <c r="R311" s="33"/>
      <c r="S311" s="60"/>
      <c r="T311" s="60"/>
      <c r="U311" s="10"/>
      <c r="V311" s="10"/>
      <c r="W311" s="10"/>
    </row>
    <row r="312" spans="1:23" ht="16.5" customHeight="1" x14ac:dyDescent="0.2">
      <c r="A312" s="1277"/>
      <c r="B312" s="1404">
        <v>32</v>
      </c>
      <c r="C312" s="1264" t="s">
        <v>96</v>
      </c>
      <c r="D312" s="1415">
        <f>ящ_32</f>
        <v>1400</v>
      </c>
      <c r="E312" s="1210">
        <v>400</v>
      </c>
      <c r="F312" s="1445" t="s">
        <v>107</v>
      </c>
      <c r="G312" s="1446"/>
      <c r="H312" s="1448"/>
      <c r="I312" s="1444">
        <f>ящ_400</f>
        <v>4200</v>
      </c>
      <c r="J312" s="1057" t="s">
        <v>93</v>
      </c>
      <c r="K312" s="377"/>
      <c r="L312" s="254"/>
      <c r="M312" s="219"/>
      <c r="N312" s="1357"/>
      <c r="O312" s="404"/>
      <c r="P312" s="229"/>
      <c r="Q312" s="34"/>
      <c r="R312" s="60"/>
      <c r="S312" s="60"/>
      <c r="T312" s="60"/>
      <c r="U312" s="10"/>
      <c r="V312" s="10"/>
      <c r="W312" s="10"/>
    </row>
    <row r="313" spans="1:23" ht="16.5" customHeight="1" x14ac:dyDescent="0.2">
      <c r="A313" s="1277"/>
      <c r="B313" s="1210">
        <v>40</v>
      </c>
      <c r="C313" s="1442" t="s">
        <v>97</v>
      </c>
      <c r="D313" s="1472">
        <f>ящ_40</f>
        <v>1400</v>
      </c>
      <c r="E313" s="1404">
        <v>500</v>
      </c>
      <c r="F313" s="1055" t="s">
        <v>115</v>
      </c>
      <c r="G313" s="511"/>
      <c r="H313" s="1267"/>
      <c r="I313" s="1058">
        <f>ящ_500</f>
        <v>4200</v>
      </c>
      <c r="J313" s="805" t="s">
        <v>94</v>
      </c>
      <c r="K313" s="377"/>
      <c r="L313" s="254"/>
      <c r="M313" s="219"/>
      <c r="N313" s="1357"/>
      <c r="O313" s="404"/>
      <c r="P313" s="229"/>
      <c r="Q313" s="34"/>
      <c r="R313" s="33"/>
      <c r="S313" s="60"/>
      <c r="T313" s="60"/>
      <c r="U313" s="10"/>
      <c r="V313" s="10"/>
      <c r="W313" s="10"/>
    </row>
    <row r="314" spans="1:23" ht="16.5" customHeight="1" x14ac:dyDescent="0.2">
      <c r="A314" s="1277"/>
      <c r="B314" s="1404">
        <v>50</v>
      </c>
      <c r="C314" s="1264" t="s">
        <v>98</v>
      </c>
      <c r="D314" s="1415">
        <f>ящ_50</f>
        <v>1400</v>
      </c>
      <c r="E314" s="1210">
        <v>600</v>
      </c>
      <c r="F314" s="1445" t="s">
        <v>114</v>
      </c>
      <c r="G314" s="1446"/>
      <c r="H314" s="1448"/>
      <c r="I314" s="1444">
        <f>ящ_600</f>
        <v>4200</v>
      </c>
      <c r="J314" s="229"/>
      <c r="K314" s="219"/>
      <c r="L314" s="254"/>
      <c r="M314" s="219"/>
      <c r="N314" s="1357"/>
      <c r="O314" s="404"/>
      <c r="P314" s="229"/>
      <c r="Q314" s="34"/>
      <c r="R314" s="33"/>
      <c r="S314" s="60"/>
      <c r="T314" s="60"/>
      <c r="U314" s="10"/>
      <c r="V314" s="10"/>
      <c r="W314" s="10"/>
    </row>
    <row r="315" spans="1:23" ht="16.5" customHeight="1" x14ac:dyDescent="0.2">
      <c r="A315" s="1277"/>
      <c r="B315" s="1210">
        <v>65</v>
      </c>
      <c r="C315" s="1442" t="s">
        <v>99</v>
      </c>
      <c r="D315" s="1472">
        <f>ящ_65</f>
        <v>1400</v>
      </c>
      <c r="E315" s="1404">
        <v>700</v>
      </c>
      <c r="F315" s="1054" t="s">
        <v>108</v>
      </c>
      <c r="G315" s="550"/>
      <c r="H315" s="1267"/>
      <c r="I315" s="1058">
        <f>ящ_700</f>
        <v>5600</v>
      </c>
      <c r="J315" s="805" t="s">
        <v>392</v>
      </c>
      <c r="K315" s="219"/>
      <c r="L315" s="254"/>
      <c r="M315" s="219"/>
      <c r="N315" s="1357"/>
      <c r="O315" s="404"/>
      <c r="P315" s="229"/>
      <c r="Q315" s="34"/>
      <c r="R315" s="33"/>
      <c r="S315" s="60"/>
      <c r="T315" s="60"/>
      <c r="U315" s="10"/>
      <c r="V315" s="10"/>
      <c r="W315" s="10"/>
    </row>
    <row r="316" spans="1:23" ht="16.5" customHeight="1" x14ac:dyDescent="0.2">
      <c r="A316" s="1277"/>
      <c r="B316" s="1404">
        <v>80</v>
      </c>
      <c r="C316" s="1264" t="s">
        <v>103</v>
      </c>
      <c r="D316" s="1415">
        <f>ящ_80</f>
        <v>1400</v>
      </c>
      <c r="E316" s="1210">
        <v>800</v>
      </c>
      <c r="F316" s="1445" t="s">
        <v>109</v>
      </c>
      <c r="G316" s="1446"/>
      <c r="H316" s="1448"/>
      <c r="I316" s="1444">
        <f>ящ_800</f>
        <v>5600</v>
      </c>
      <c r="J316" s="229" t="s">
        <v>393</v>
      </c>
      <c r="K316" s="219"/>
      <c r="L316" s="254"/>
      <c r="M316" s="219"/>
      <c r="N316" s="1357"/>
      <c r="O316" s="404"/>
      <c r="P316" s="229"/>
      <c r="Q316" s="34"/>
      <c r="R316" s="33"/>
      <c r="S316" s="60"/>
      <c r="T316" s="60"/>
      <c r="U316" s="10"/>
      <c r="V316" s="10"/>
      <c r="W316" s="10"/>
    </row>
    <row r="317" spans="1:23" ht="16.5" customHeight="1" x14ac:dyDescent="0.2">
      <c r="A317" s="1277"/>
      <c r="B317" s="1210">
        <v>100</v>
      </c>
      <c r="C317" s="1442" t="s">
        <v>100</v>
      </c>
      <c r="D317" s="1472">
        <f>ящ_100</f>
        <v>2100</v>
      </c>
      <c r="E317" s="1404">
        <v>900</v>
      </c>
      <c r="F317" s="1054" t="s">
        <v>110</v>
      </c>
      <c r="G317" s="550"/>
      <c r="H317" s="1267"/>
      <c r="I317" s="1058">
        <f>ящ_900</f>
        <v>5600</v>
      </c>
      <c r="J317" s="229"/>
      <c r="K317" s="219"/>
      <c r="L317" s="254"/>
      <c r="M317" s="219"/>
      <c r="N317" s="1357"/>
      <c r="O317" s="404"/>
      <c r="P317" s="229"/>
      <c r="Q317" s="34"/>
      <c r="R317" s="60"/>
      <c r="S317" s="60"/>
      <c r="T317" s="60"/>
      <c r="U317" s="10"/>
      <c r="V317" s="10"/>
      <c r="W317" s="10"/>
    </row>
    <row r="318" spans="1:23" ht="16.5" customHeight="1" x14ac:dyDescent="0.2">
      <c r="A318" s="1277"/>
      <c r="B318" s="1404">
        <v>125</v>
      </c>
      <c r="C318" s="1264" t="s">
        <v>1043</v>
      </c>
      <c r="D318" s="1415">
        <f>ящ_150</f>
        <v>2100</v>
      </c>
      <c r="E318" s="1210">
        <v>1000</v>
      </c>
      <c r="F318" s="1445" t="s">
        <v>111</v>
      </c>
      <c r="G318" s="1466"/>
      <c r="H318" s="1448"/>
      <c r="I318" s="1444">
        <f>ящ_1000</f>
        <v>7000</v>
      </c>
      <c r="J318" s="229"/>
      <c r="K318" s="219"/>
      <c r="L318" s="254"/>
      <c r="M318" s="219"/>
      <c r="N318" s="1357"/>
      <c r="O318" s="404"/>
      <c r="P318" s="229"/>
      <c r="Q318" s="34"/>
      <c r="R318" s="60"/>
      <c r="S318" s="60"/>
      <c r="T318" s="60"/>
      <c r="U318" s="10"/>
      <c r="V318" s="10"/>
      <c r="W318" s="10"/>
    </row>
    <row r="319" spans="1:23" ht="16.5" customHeight="1" x14ac:dyDescent="0.2">
      <c r="A319" s="1277"/>
      <c r="B319" s="1210">
        <v>150</v>
      </c>
      <c r="C319" s="1442" t="s">
        <v>1044</v>
      </c>
      <c r="D319" s="1472">
        <f>ящ_150</f>
        <v>2100</v>
      </c>
      <c r="E319" s="1404">
        <v>1200</v>
      </c>
      <c r="F319" s="1054" t="s">
        <v>112</v>
      </c>
      <c r="G319" s="550"/>
      <c r="H319" s="1267"/>
      <c r="I319" s="1058">
        <f>ящ_1200</f>
        <v>7000</v>
      </c>
      <c r="J319" s="254"/>
      <c r="K319" s="219"/>
      <c r="L319" s="254"/>
      <c r="M319" s="219"/>
      <c r="N319" s="1357"/>
      <c r="O319" s="404"/>
      <c r="P319" s="229"/>
      <c r="Q319" s="34"/>
      <c r="R319" s="33"/>
      <c r="S319" s="60"/>
      <c r="T319" s="60"/>
      <c r="U319" s="10"/>
      <c r="V319" s="10"/>
      <c r="W319" s="10"/>
    </row>
    <row r="320" spans="1:23" ht="16.5" customHeight="1" thickBot="1" x14ac:dyDescent="0.25">
      <c r="A320" s="1277"/>
      <c r="B320" s="1411">
        <v>200</v>
      </c>
      <c r="C320" s="1412" t="s">
        <v>101</v>
      </c>
      <c r="D320" s="1416">
        <f>ящ_200</f>
        <v>2100</v>
      </c>
      <c r="E320" s="1467">
        <v>1400</v>
      </c>
      <c r="F320" s="1450" t="s">
        <v>113</v>
      </c>
      <c r="G320" s="1451"/>
      <c r="H320" s="1452"/>
      <c r="I320" s="1468">
        <f>ящ_1400</f>
        <v>7000</v>
      </c>
      <c r="J320" s="1381"/>
      <c r="K320" s="1326"/>
      <c r="L320" s="1381"/>
      <c r="M320" s="1326"/>
      <c r="N320" s="1414"/>
      <c r="O320" s="404"/>
      <c r="P320" s="229"/>
      <c r="Q320" s="34"/>
      <c r="R320" s="60"/>
      <c r="S320" s="60"/>
      <c r="T320" s="60"/>
      <c r="U320" s="10"/>
      <c r="V320" s="10"/>
      <c r="W320" s="10"/>
    </row>
    <row r="321" spans="1:23" ht="15" customHeight="1" thickTop="1" x14ac:dyDescent="0.2">
      <c r="A321" s="1"/>
      <c r="B321" s="2"/>
      <c r="C321" s="274"/>
      <c r="D321" s="285"/>
      <c r="E321" s="274"/>
      <c r="F321" s="274"/>
      <c r="G321" s="274"/>
      <c r="H321" s="429"/>
      <c r="I321" s="378"/>
      <c r="J321" s="378"/>
      <c r="K321" s="378"/>
      <c r="L321" s="378"/>
      <c r="M321" s="404"/>
      <c r="N321" s="404"/>
      <c r="O321" s="404"/>
      <c r="P321" s="229"/>
      <c r="Q321" s="34"/>
      <c r="R321" s="33"/>
      <c r="S321" s="60"/>
      <c r="T321" s="60"/>
      <c r="U321" s="10"/>
      <c r="V321" s="10"/>
      <c r="W321" s="10"/>
    </row>
    <row r="322" spans="1:23" ht="15" customHeight="1" x14ac:dyDescent="0.2">
      <c r="A322" s="1"/>
      <c r="B322" s="1"/>
      <c r="D322" s="392"/>
      <c r="E322" s="2"/>
      <c r="F322" s="230"/>
      <c r="G322" s="230"/>
      <c r="H322" s="230"/>
      <c r="I322" s="219"/>
      <c r="J322" s="219"/>
      <c r="K322" s="219"/>
      <c r="L322" s="219"/>
      <c r="M322" s="219"/>
      <c r="N322" s="219"/>
      <c r="O322" s="404"/>
      <c r="P322" s="229"/>
      <c r="Q322" s="34"/>
      <c r="R322" s="602"/>
      <c r="S322" s="60"/>
      <c r="T322" s="60"/>
      <c r="U322" s="10"/>
      <c r="V322" s="10"/>
      <c r="W322" s="10"/>
    </row>
    <row r="323" spans="1:23" ht="15" customHeight="1" x14ac:dyDescent="0.2">
      <c r="A323" s="1"/>
      <c r="B323" s="1"/>
      <c r="C323" s="230"/>
      <c r="D323" s="385"/>
      <c r="E323" s="480"/>
      <c r="F323" s="385"/>
      <c r="G323" s="385"/>
      <c r="H323" s="385"/>
      <c r="I323" s="386"/>
      <c r="J323" s="386"/>
      <c r="K323" s="386"/>
      <c r="L323" s="219"/>
      <c r="M323" s="219"/>
      <c r="N323" s="219"/>
      <c r="O323" s="404"/>
      <c r="P323" s="229"/>
      <c r="Q323" s="34"/>
      <c r="R323" s="33"/>
      <c r="S323" s="60"/>
      <c r="T323" s="60"/>
      <c r="U323" s="10"/>
      <c r="V323" s="10"/>
      <c r="W323" s="10"/>
    </row>
    <row r="324" spans="1:23" ht="15" customHeight="1" x14ac:dyDescent="0.25">
      <c r="A324" s="1"/>
      <c r="B324" s="1"/>
      <c r="C324" s="230"/>
      <c r="D324" s="478" t="s">
        <v>1013</v>
      </c>
      <c r="E324" s="480"/>
      <c r="F324" s="385"/>
      <c r="G324" s="385"/>
      <c r="H324" s="385"/>
      <c r="I324" s="386"/>
      <c r="J324" s="386"/>
      <c r="K324" s="386"/>
      <c r="L324" s="219"/>
      <c r="M324" s="219"/>
      <c r="N324" s="219"/>
      <c r="O324" s="404"/>
      <c r="P324" s="229"/>
      <c r="Q324" s="34"/>
      <c r="R324" s="33"/>
      <c r="S324" s="60"/>
      <c r="T324" s="60"/>
      <c r="U324" s="10"/>
      <c r="V324" s="10"/>
      <c r="W324" s="10"/>
    </row>
    <row r="325" spans="1:23" ht="15" customHeight="1" thickBot="1" x14ac:dyDescent="0.25">
      <c r="A325" s="1"/>
      <c r="B325" s="1327"/>
      <c r="C325" s="1325"/>
      <c r="D325" s="1325"/>
      <c r="E325" s="1327"/>
      <c r="F325" s="1325"/>
      <c r="G325" s="1325"/>
      <c r="H325" s="1325"/>
      <c r="I325" s="1326"/>
      <c r="J325" s="1326"/>
      <c r="K325" s="1326"/>
      <c r="L325" s="1326"/>
      <c r="M325" s="1326"/>
      <c r="N325" s="1326"/>
      <c r="O325" s="404"/>
      <c r="P325" s="229"/>
      <c r="Q325" s="34"/>
      <c r="R325" s="33"/>
      <c r="S325" s="60"/>
      <c r="T325" s="60"/>
      <c r="U325" s="10"/>
      <c r="V325" s="10"/>
      <c r="W325" s="10"/>
    </row>
    <row r="326" spans="1:23" ht="16.5" customHeight="1" thickTop="1" x14ac:dyDescent="0.2">
      <c r="A326" s="1277"/>
      <c r="B326" s="1405" t="s">
        <v>1313</v>
      </c>
      <c r="C326" s="1102" t="s">
        <v>700</v>
      </c>
      <c r="D326" s="1406"/>
      <c r="E326" s="1405" t="s">
        <v>1313</v>
      </c>
      <c r="F326" s="1102" t="s">
        <v>314</v>
      </c>
      <c r="G326" s="922"/>
      <c r="H326" s="1407"/>
      <c r="I326" s="1406"/>
      <c r="J326" s="1408"/>
      <c r="K326" s="1106" t="s">
        <v>697</v>
      </c>
      <c r="L326" s="1106"/>
      <c r="M326" s="1105"/>
      <c r="N326" s="1409"/>
      <c r="O326" s="404"/>
      <c r="P326" s="229"/>
      <c r="Q326" s="34"/>
      <c r="R326" s="33"/>
      <c r="S326" s="60"/>
      <c r="T326" s="60"/>
      <c r="U326" s="10"/>
      <c r="V326" s="10"/>
      <c r="W326" s="10"/>
    </row>
    <row r="327" spans="1:23" ht="16.5" customHeight="1" x14ac:dyDescent="0.2">
      <c r="A327" s="1277"/>
      <c r="B327" s="1210">
        <v>15</v>
      </c>
      <c r="C327" s="1458" t="s">
        <v>163</v>
      </c>
      <c r="D327" s="1443">
        <f>габ_15</f>
        <v>14000</v>
      </c>
      <c r="E327" s="1028">
        <v>250</v>
      </c>
      <c r="F327" s="1054" t="s">
        <v>176</v>
      </c>
      <c r="G327" s="1455"/>
      <c r="H327" s="1456"/>
      <c r="I327" s="1265">
        <f>габ_250</f>
        <v>43820</v>
      </c>
      <c r="J327" s="1056"/>
      <c r="K327" s="377"/>
      <c r="L327" s="431"/>
      <c r="M327" s="219"/>
      <c r="N327" s="1410"/>
      <c r="O327" s="404"/>
      <c r="P327" s="229"/>
      <c r="Q327" s="34"/>
      <c r="R327" s="60"/>
      <c r="S327" s="60"/>
      <c r="T327" s="60"/>
      <c r="U327" s="10"/>
      <c r="V327" s="10"/>
      <c r="W327" s="10"/>
    </row>
    <row r="328" spans="1:23" ht="16.5" customHeight="1" x14ac:dyDescent="0.2">
      <c r="A328" s="1277"/>
      <c r="B328" s="1219">
        <v>20</v>
      </c>
      <c r="C328" s="1459" t="s">
        <v>164</v>
      </c>
      <c r="D328" s="1460">
        <f>габ_25</f>
        <v>17500</v>
      </c>
      <c r="E328" s="1029">
        <v>300</v>
      </c>
      <c r="F328" s="1445" t="s">
        <v>175</v>
      </c>
      <c r="G328" s="1446"/>
      <c r="H328" s="1457"/>
      <c r="I328" s="1443">
        <f>габ_300</f>
        <v>52500</v>
      </c>
      <c r="J328" s="1056" t="s">
        <v>1014</v>
      </c>
      <c r="K328" s="377"/>
      <c r="L328" s="431"/>
      <c r="M328" s="219"/>
      <c r="N328" s="1410"/>
      <c r="O328" s="404"/>
      <c r="P328" s="229"/>
      <c r="Q328" s="34"/>
      <c r="R328" s="33"/>
      <c r="S328" s="60"/>
      <c r="T328" s="60"/>
      <c r="U328" s="10"/>
      <c r="V328" s="10"/>
      <c r="W328" s="10"/>
    </row>
    <row r="329" spans="1:23" ht="16.5" customHeight="1" x14ac:dyDescent="0.2">
      <c r="A329" s="1277"/>
      <c r="B329" s="1210">
        <v>25</v>
      </c>
      <c r="C329" s="1442" t="s">
        <v>165</v>
      </c>
      <c r="D329" s="1443">
        <f>габ_25</f>
        <v>17500</v>
      </c>
      <c r="E329" s="1028">
        <v>350</v>
      </c>
      <c r="F329" s="1054" t="s">
        <v>177</v>
      </c>
      <c r="G329" s="511"/>
      <c r="H329" s="1266"/>
      <c r="I329" s="1265">
        <f>габ_350</f>
        <v>61320</v>
      </c>
      <c r="J329" s="376" t="s">
        <v>1017</v>
      </c>
      <c r="K329" s="377"/>
      <c r="L329" s="254"/>
      <c r="M329" s="219"/>
      <c r="N329" s="1357"/>
      <c r="O329" s="404"/>
      <c r="P329" s="229"/>
      <c r="Q329" s="34"/>
      <c r="R329" s="33"/>
      <c r="S329" s="60"/>
      <c r="T329" s="60"/>
      <c r="U329" s="10"/>
      <c r="V329" s="10"/>
      <c r="W329" s="10"/>
    </row>
    <row r="330" spans="1:23" ht="16.5" customHeight="1" x14ac:dyDescent="0.2">
      <c r="A330" s="1277"/>
      <c r="B330" s="1404">
        <v>32</v>
      </c>
      <c r="C330" s="1264" t="s">
        <v>166</v>
      </c>
      <c r="D330" s="1263">
        <f>габ_32</f>
        <v>10500</v>
      </c>
      <c r="E330" s="1029">
        <v>400</v>
      </c>
      <c r="F330" s="1447" t="s">
        <v>178</v>
      </c>
      <c r="G330" s="1446"/>
      <c r="H330" s="1448"/>
      <c r="I330" s="1444">
        <f>габ_400</f>
        <v>78820</v>
      </c>
      <c r="J330" s="1057" t="s">
        <v>1015</v>
      </c>
      <c r="K330" s="377"/>
      <c r="L330" s="254"/>
      <c r="M330" s="219"/>
      <c r="N330" s="1357"/>
      <c r="O330" s="404"/>
      <c r="P330" s="229"/>
      <c r="Q330" s="34"/>
      <c r="R330" s="33"/>
      <c r="S330" s="60"/>
      <c r="T330" s="60"/>
      <c r="U330" s="10"/>
      <c r="V330" s="10"/>
      <c r="W330" s="10"/>
    </row>
    <row r="331" spans="1:23" ht="16.5" customHeight="1" x14ac:dyDescent="0.2">
      <c r="A331" s="1277"/>
      <c r="B331" s="1210">
        <v>40</v>
      </c>
      <c r="C331" s="1442" t="s">
        <v>167</v>
      </c>
      <c r="D331" s="1444">
        <f>габ_40</f>
        <v>10500</v>
      </c>
      <c r="E331" s="1028">
        <v>500</v>
      </c>
      <c r="F331" s="1054" t="s">
        <v>179</v>
      </c>
      <c r="G331" s="511"/>
      <c r="H331" s="1267"/>
      <c r="I331" s="1058">
        <f>габ_500</f>
        <v>122500</v>
      </c>
      <c r="J331" s="500" t="s">
        <v>1008</v>
      </c>
      <c r="K331" s="501"/>
      <c r="L331" s="254"/>
      <c r="M331" s="219"/>
      <c r="N331" s="1357"/>
      <c r="O331" s="404"/>
      <c r="P331" s="229"/>
      <c r="Q331" s="34"/>
      <c r="R331" s="60"/>
      <c r="S331" s="60"/>
      <c r="T331" s="60"/>
      <c r="U331" s="10"/>
      <c r="V331" s="10"/>
      <c r="W331" s="10"/>
    </row>
    <row r="332" spans="1:23" ht="16.5" customHeight="1" x14ac:dyDescent="0.2">
      <c r="A332" s="1277"/>
      <c r="B332" s="1404">
        <v>50</v>
      </c>
      <c r="C332" s="1264" t="s">
        <v>168</v>
      </c>
      <c r="D332" s="1263">
        <f>габ_50</f>
        <v>14000</v>
      </c>
      <c r="E332" s="1029">
        <v>600</v>
      </c>
      <c r="F332" s="1445" t="s">
        <v>180</v>
      </c>
      <c r="G332" s="1446"/>
      <c r="H332" s="1448"/>
      <c r="I332" s="1444">
        <f>габ_600</f>
        <v>175000</v>
      </c>
      <c r="J332" s="1461"/>
      <c r="K332" s="219"/>
      <c r="L332" s="254"/>
      <c r="M332" s="219"/>
      <c r="N332" s="1357"/>
      <c r="O332" s="404"/>
      <c r="P332" s="229"/>
      <c r="Q332" s="34"/>
      <c r="R332" s="602"/>
      <c r="S332" s="60"/>
      <c r="T332" s="60"/>
      <c r="U332" s="10"/>
      <c r="V332" s="10"/>
      <c r="W332" s="10"/>
    </row>
    <row r="333" spans="1:23" ht="16.5" customHeight="1" x14ac:dyDescent="0.2">
      <c r="A333" s="1277"/>
      <c r="B333" s="1210">
        <v>65</v>
      </c>
      <c r="C333" s="1442" t="s">
        <v>169</v>
      </c>
      <c r="D333" s="1444">
        <f>габ_65</f>
        <v>21000</v>
      </c>
      <c r="E333" s="1028">
        <v>700</v>
      </c>
      <c r="F333" s="1055" t="s">
        <v>181</v>
      </c>
      <c r="G333" s="550"/>
      <c r="H333" s="1267"/>
      <c r="I333" s="1058">
        <f>габ_700</f>
        <v>210000</v>
      </c>
      <c r="J333" s="1057" t="s">
        <v>1016</v>
      </c>
      <c r="K333" s="219"/>
      <c r="L333" s="254"/>
      <c r="M333" s="219"/>
      <c r="N333" s="1357"/>
      <c r="O333" s="404"/>
      <c r="P333" s="229"/>
      <c r="Q333" s="34"/>
      <c r="R333" s="602"/>
      <c r="S333" s="60"/>
      <c r="T333" s="60"/>
      <c r="U333" s="10"/>
      <c r="V333" s="10"/>
      <c r="W333" s="10"/>
    </row>
    <row r="334" spans="1:23" ht="16.5" customHeight="1" x14ac:dyDescent="0.2">
      <c r="A334" s="1277"/>
      <c r="B334" s="1404">
        <v>80</v>
      </c>
      <c r="C334" s="1264" t="s">
        <v>170</v>
      </c>
      <c r="D334" s="1263">
        <f>габ_80</f>
        <v>21000</v>
      </c>
      <c r="E334" s="1029">
        <v>800</v>
      </c>
      <c r="F334" s="1445" t="s">
        <v>182</v>
      </c>
      <c r="G334" s="1446"/>
      <c r="H334" s="1448"/>
      <c r="I334" s="1444">
        <f>габ_800</f>
        <v>245000</v>
      </c>
      <c r="J334" s="229"/>
      <c r="K334" s="219"/>
      <c r="L334" s="254"/>
      <c r="M334" s="219"/>
      <c r="N334" s="1357"/>
      <c r="O334" s="404"/>
      <c r="P334" s="229"/>
      <c r="Q334" s="34"/>
      <c r="R334" s="33"/>
      <c r="S334" s="60"/>
      <c r="T334" s="60"/>
      <c r="U334" s="10"/>
      <c r="V334" s="10"/>
      <c r="W334" s="10"/>
    </row>
    <row r="335" spans="1:23" ht="16.5" customHeight="1" x14ac:dyDescent="0.2">
      <c r="A335" s="1277"/>
      <c r="B335" s="1210">
        <v>100</v>
      </c>
      <c r="C335" s="1442" t="s">
        <v>171</v>
      </c>
      <c r="D335" s="1444">
        <f>габ_100</f>
        <v>28000</v>
      </c>
      <c r="E335" s="1028">
        <v>900</v>
      </c>
      <c r="F335" s="1054" t="s">
        <v>183</v>
      </c>
      <c r="G335" s="550"/>
      <c r="H335" s="1267"/>
      <c r="I335" s="1058">
        <f>габ_900</f>
        <v>350000</v>
      </c>
      <c r="J335" s="229" t="s">
        <v>808</v>
      </c>
      <c r="K335" s="219"/>
      <c r="L335" s="254"/>
      <c r="M335" s="219"/>
      <c r="N335" s="1357"/>
      <c r="O335" s="404"/>
      <c r="P335" s="229"/>
      <c r="Q335" s="34"/>
      <c r="R335" s="33"/>
      <c r="S335" s="60"/>
      <c r="T335" s="60"/>
      <c r="U335" s="10"/>
      <c r="V335" s="10"/>
      <c r="W335" s="10"/>
    </row>
    <row r="336" spans="1:23" ht="16.5" customHeight="1" x14ac:dyDescent="0.2">
      <c r="A336" s="1277"/>
      <c r="B336" s="1404">
        <v>125</v>
      </c>
      <c r="C336" s="1264" t="s">
        <v>172</v>
      </c>
      <c r="D336" s="1263">
        <f>габ_150</f>
        <v>29820</v>
      </c>
      <c r="E336" s="1029">
        <v>1000</v>
      </c>
      <c r="F336" s="1445" t="s">
        <v>184</v>
      </c>
      <c r="G336" s="1446"/>
      <c r="H336" s="1448"/>
      <c r="I336" s="1444">
        <f>габ_1000</f>
        <v>472500</v>
      </c>
      <c r="J336" s="229" t="s">
        <v>1010</v>
      </c>
      <c r="K336" s="219"/>
      <c r="L336" s="254"/>
      <c r="M336" s="219"/>
      <c r="N336" s="1357"/>
      <c r="O336" s="404"/>
      <c r="P336" s="229"/>
      <c r="Q336" s="34"/>
      <c r="R336" s="33"/>
      <c r="S336" s="60"/>
      <c r="T336" s="60"/>
      <c r="U336" s="10"/>
      <c r="V336" s="10"/>
      <c r="W336" s="10"/>
    </row>
    <row r="337" spans="1:23" ht="16.5" customHeight="1" x14ac:dyDescent="0.2">
      <c r="A337" s="1277"/>
      <c r="B337" s="1210">
        <v>150</v>
      </c>
      <c r="C337" s="1442" t="s">
        <v>173</v>
      </c>
      <c r="D337" s="1444">
        <f>габ_150</f>
        <v>29820</v>
      </c>
      <c r="E337" s="1028">
        <v>1200</v>
      </c>
      <c r="F337" s="1054" t="s">
        <v>185</v>
      </c>
      <c r="G337" s="550"/>
      <c r="H337" s="1267"/>
      <c r="I337" s="1265" t="str">
        <f>габ_1200</f>
        <v>запрос</v>
      </c>
      <c r="J337" s="254"/>
      <c r="K337" s="219"/>
      <c r="L337" s="254"/>
      <c r="M337" s="219"/>
      <c r="N337" s="1357"/>
      <c r="O337" s="404"/>
      <c r="P337" s="229"/>
      <c r="Q337" s="34"/>
      <c r="R337" s="60"/>
      <c r="S337" s="60"/>
      <c r="T337" s="60"/>
      <c r="U337" s="10"/>
      <c r="V337" s="10"/>
      <c r="W337" s="10"/>
    </row>
    <row r="338" spans="1:23" ht="16.5" customHeight="1" thickBot="1" x14ac:dyDescent="0.25">
      <c r="A338" s="1277"/>
      <c r="B338" s="1411">
        <v>200</v>
      </c>
      <c r="C338" s="1412" t="s">
        <v>174</v>
      </c>
      <c r="D338" s="1413">
        <f>габ_200</f>
        <v>31500</v>
      </c>
      <c r="E338" s="1449">
        <v>1400</v>
      </c>
      <c r="F338" s="1450" t="s">
        <v>186</v>
      </c>
      <c r="G338" s="1451"/>
      <c r="H338" s="1452"/>
      <c r="I338" s="1486" t="str">
        <f>габ_1400</f>
        <v>запрос</v>
      </c>
      <c r="J338" s="1381"/>
      <c r="K338" s="1326"/>
      <c r="L338" s="1381"/>
      <c r="M338" s="1326"/>
      <c r="N338" s="1414"/>
      <c r="O338" s="404"/>
      <c r="P338" s="229"/>
      <c r="Q338" s="34"/>
      <c r="R338" s="33"/>
      <c r="S338" s="60"/>
      <c r="T338" s="60"/>
      <c r="U338" s="10"/>
      <c r="V338" s="10"/>
      <c r="W338" s="10"/>
    </row>
    <row r="339" spans="1:23" ht="15" customHeight="1" thickTop="1" x14ac:dyDescent="0.2">
      <c r="A339" s="1"/>
      <c r="B339" s="2"/>
      <c r="C339" s="274"/>
      <c r="D339" s="285"/>
      <c r="E339" s="274"/>
      <c r="F339" s="274"/>
      <c r="G339" s="274"/>
      <c r="H339" s="429"/>
      <c r="I339" s="378"/>
      <c r="J339" s="378"/>
      <c r="K339" s="378"/>
      <c r="L339" s="378"/>
      <c r="M339" s="404"/>
      <c r="N339" s="404"/>
      <c r="O339" s="404"/>
      <c r="P339" s="229"/>
      <c r="Q339" s="1"/>
      <c r="R339" s="2"/>
      <c r="S339" s="60"/>
      <c r="T339" s="60"/>
      <c r="U339" s="10"/>
      <c r="V339" s="10"/>
      <c r="W339" s="10"/>
    </row>
    <row r="340" spans="1:23" ht="15" customHeight="1" x14ac:dyDescent="0.2">
      <c r="A340" s="1"/>
      <c r="B340" s="425" t="s">
        <v>412</v>
      </c>
      <c r="C340" s="425"/>
      <c r="D340" s="249"/>
      <c r="E340" s="250"/>
      <c r="F340" s="251"/>
      <c r="G340" s="229"/>
      <c r="H340" s="229"/>
      <c r="I340" s="251"/>
      <c r="J340" s="251"/>
      <c r="K340" s="251"/>
      <c r="L340" s="251"/>
      <c r="M340" s="229"/>
      <c r="N340" s="252"/>
      <c r="O340" s="252"/>
      <c r="P340" s="229"/>
      <c r="Q340" s="1"/>
      <c r="R340" s="2"/>
      <c r="S340" s="60"/>
      <c r="T340" s="60"/>
      <c r="U340" s="10"/>
      <c r="V340" s="10"/>
      <c r="W340" s="10"/>
    </row>
    <row r="341" spans="1:23" ht="15" customHeight="1" x14ac:dyDescent="0.2">
      <c r="A341" s="1"/>
      <c r="B341" s="1462" t="s">
        <v>1018</v>
      </c>
      <c r="C341" s="253"/>
      <c r="D341" s="249"/>
      <c r="E341" s="254"/>
      <c r="F341" s="251"/>
      <c r="G341" s="229"/>
      <c r="H341" s="229"/>
      <c r="I341" s="251"/>
      <c r="J341" s="251"/>
      <c r="K341" s="251"/>
      <c r="L341" s="251"/>
      <c r="M341" s="229"/>
      <c r="N341" s="252"/>
      <c r="O341" s="252"/>
      <c r="P341" s="229"/>
      <c r="Q341" s="1"/>
      <c r="R341" s="271"/>
      <c r="S341" s="60"/>
      <c r="T341" s="60"/>
      <c r="U341" s="10"/>
      <c r="V341" s="10"/>
      <c r="W341" s="10"/>
    </row>
    <row r="342" spans="1:23" ht="15" customHeight="1" x14ac:dyDescent="0.2">
      <c r="A342" s="1"/>
      <c r="B342" s="228" t="s">
        <v>913</v>
      </c>
      <c r="C342" s="228"/>
      <c r="D342" s="249"/>
      <c r="E342" s="254"/>
      <c r="F342" s="251"/>
      <c r="G342" s="229"/>
      <c r="H342" s="229"/>
      <c r="I342" s="251"/>
      <c r="J342" s="251"/>
      <c r="K342" s="251"/>
      <c r="L342" s="251"/>
      <c r="M342" s="229"/>
      <c r="N342" s="252"/>
      <c r="O342" s="252"/>
      <c r="P342" s="229"/>
      <c r="Q342" s="1"/>
      <c r="R342" s="271"/>
      <c r="S342" s="60"/>
      <c r="T342" s="60"/>
      <c r="U342" s="10"/>
      <c r="V342" s="10"/>
      <c r="W342" s="10"/>
    </row>
    <row r="343" spans="1:23" ht="15" customHeight="1" x14ac:dyDescent="0.2">
      <c r="A343" s="1"/>
      <c r="B343" s="228" t="s">
        <v>1088</v>
      </c>
      <c r="C343" s="228"/>
      <c r="D343" s="249"/>
      <c r="E343" s="254"/>
      <c r="F343" s="251"/>
      <c r="G343" s="229"/>
      <c r="H343" s="229"/>
      <c r="I343" s="251"/>
      <c r="J343" s="251"/>
      <c r="K343" s="251"/>
      <c r="L343" s="251"/>
      <c r="M343" s="229"/>
      <c r="N343" s="252"/>
      <c r="O343" s="252"/>
      <c r="P343" s="229"/>
      <c r="Q343" s="1"/>
      <c r="R343" s="271"/>
      <c r="S343" s="60"/>
      <c r="T343" s="60"/>
      <c r="U343" s="10"/>
      <c r="V343" s="10"/>
      <c r="W343" s="10"/>
    </row>
    <row r="344" spans="1:23" ht="15" customHeight="1" x14ac:dyDescent="0.2">
      <c r="A344" s="1"/>
      <c r="B344" s="255" t="s">
        <v>825</v>
      </c>
      <c r="C344" s="255"/>
      <c r="D344" s="249"/>
      <c r="E344" s="254"/>
      <c r="F344" s="251"/>
      <c r="G344" s="229"/>
      <c r="H344" s="229"/>
      <c r="I344" s="251"/>
      <c r="J344" s="251"/>
      <c r="K344" s="251"/>
      <c r="L344" s="251"/>
      <c r="M344" s="229"/>
      <c r="N344" s="252"/>
      <c r="O344" s="252"/>
      <c r="P344" s="229"/>
      <c r="Q344" s="1"/>
      <c r="R344" s="271"/>
      <c r="S344" s="60"/>
      <c r="T344" s="60"/>
      <c r="U344" s="10"/>
      <c r="V344" s="10"/>
      <c r="W344" s="10"/>
    </row>
    <row r="345" spans="1:23" ht="15" customHeight="1" x14ac:dyDescent="0.2">
      <c r="C345" s="226"/>
      <c r="D345" s="226"/>
      <c r="E345" s="216"/>
      <c r="F345" s="222"/>
      <c r="G345" s="58"/>
      <c r="H345" s="58"/>
      <c r="I345" s="222"/>
      <c r="J345" s="222"/>
      <c r="K345" s="222"/>
      <c r="L345" s="222"/>
      <c r="M345" s="58"/>
      <c r="N345" s="227"/>
      <c r="O345" s="227"/>
      <c r="P345" s="224"/>
      <c r="Q345" s="34"/>
      <c r="R345" s="60"/>
      <c r="S345" s="60"/>
      <c r="T345" s="60"/>
      <c r="U345" s="10"/>
      <c r="V345" s="10"/>
      <c r="W345" s="10"/>
    </row>
    <row r="346" spans="1:23" ht="15" customHeight="1" x14ac:dyDescent="0.2">
      <c r="C346" s="226"/>
      <c r="D346" s="226"/>
      <c r="E346" s="216"/>
      <c r="F346" s="222"/>
      <c r="G346" s="58"/>
      <c r="H346" s="58"/>
      <c r="I346" s="222"/>
      <c r="J346" s="222"/>
      <c r="K346" s="222"/>
      <c r="L346" s="222"/>
      <c r="M346" s="58"/>
      <c r="N346" s="227"/>
      <c r="O346" s="227"/>
      <c r="P346" s="224"/>
      <c r="Q346" s="34"/>
      <c r="R346" s="60"/>
      <c r="S346" s="60"/>
      <c r="T346" s="60"/>
      <c r="U346" s="10"/>
      <c r="V346" s="10"/>
      <c r="W346" s="10"/>
    </row>
    <row r="347" spans="1:23" ht="15" customHeight="1" x14ac:dyDescent="0.2">
      <c r="C347" s="226"/>
      <c r="D347" s="226"/>
      <c r="E347" s="216"/>
      <c r="F347" s="222"/>
      <c r="G347" s="58"/>
      <c r="H347" s="58"/>
      <c r="I347" s="222"/>
      <c r="J347" s="222"/>
      <c r="K347" s="222"/>
      <c r="L347" s="222"/>
      <c r="M347" s="58"/>
      <c r="N347" s="227"/>
      <c r="O347" s="227"/>
      <c r="P347" s="224"/>
      <c r="Q347" s="34"/>
      <c r="R347" s="60"/>
      <c r="S347" s="60"/>
      <c r="T347" s="60"/>
      <c r="U347" s="10"/>
      <c r="V347" s="10"/>
      <c r="W347" s="10"/>
    </row>
    <row r="348" spans="1:23" ht="15" customHeight="1" x14ac:dyDescent="0.2">
      <c r="C348" s="226"/>
      <c r="D348" s="226"/>
      <c r="E348" s="216"/>
      <c r="F348" s="222"/>
      <c r="G348" s="58"/>
      <c r="H348" s="58"/>
      <c r="I348" s="222"/>
      <c r="J348" s="222"/>
      <c r="K348" s="222"/>
      <c r="L348" s="222"/>
      <c r="M348" s="58"/>
      <c r="N348" s="227"/>
      <c r="O348" s="227"/>
      <c r="P348" s="224"/>
      <c r="Q348" s="34"/>
      <c r="R348" s="60"/>
      <c r="S348" s="60"/>
      <c r="T348" s="60"/>
      <c r="U348" s="10"/>
      <c r="V348" s="10"/>
      <c r="W348" s="10"/>
    </row>
    <row r="349" spans="1:23" x14ac:dyDescent="0.2">
      <c r="P349" s="10"/>
    </row>
    <row r="350" spans="1:23" x14ac:dyDescent="0.2">
      <c r="E350" s="10"/>
      <c r="F350" s="10"/>
      <c r="G350" s="10"/>
    </row>
  </sheetData>
  <mergeCells count="31">
    <mergeCell ref="B1:O1"/>
    <mergeCell ref="B2:O2"/>
    <mergeCell ref="B3:O3"/>
    <mergeCell ref="E246:N246"/>
    <mergeCell ref="E235:N235"/>
    <mergeCell ref="E243:N243"/>
    <mergeCell ref="E239:N239"/>
    <mergeCell ref="E244:N244"/>
    <mergeCell ref="E245:N245"/>
    <mergeCell ref="E241:N241"/>
    <mergeCell ref="E242:N242"/>
    <mergeCell ref="E240:N240"/>
    <mergeCell ref="E212:N212"/>
    <mergeCell ref="E213:N213"/>
    <mergeCell ref="E237:N237"/>
    <mergeCell ref="E236:N236"/>
    <mergeCell ref="E238:N238"/>
    <mergeCell ref="E233:N233"/>
    <mergeCell ref="E234:N234"/>
    <mergeCell ref="E229:N229"/>
    <mergeCell ref="E230:N230"/>
    <mergeCell ref="E231:N231"/>
    <mergeCell ref="B221:C221"/>
    <mergeCell ref="E221:N221"/>
    <mergeCell ref="E232:N232"/>
    <mergeCell ref="E253:N253"/>
    <mergeCell ref="E254:N254"/>
    <mergeCell ref="E257:N257"/>
    <mergeCell ref="E258:N258"/>
    <mergeCell ref="E255:N255"/>
    <mergeCell ref="E256:N256"/>
  </mergeCells>
  <phoneticPr fontId="9" type="noConversion"/>
  <pageMargins left="0.70866141732283472" right="0.35433070866141736" top="0.49" bottom="0.59055118110236227" header="0.39370078740157483" footer="0.51181102362204722"/>
  <pageSetup paperSize="9" scale="48" fitToHeight="5" orientation="portrait" verticalDpi="1200" r:id="rId1"/>
  <headerFooter alignWithMargins="0"/>
  <rowBreaks count="3" manualBreakCount="3">
    <brk id="87" max="13" man="1"/>
    <brk id="177" max="13" man="1"/>
    <brk id="258" max="13" man="1"/>
  </rowBreaks>
  <ignoredErrors>
    <ignoredError sqref="N57 D57 D242 N146 D147" formula="1"/>
    <ignoredError sqref="D58:D65" evalError="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pageSetUpPr fitToPage="1"/>
  </sheetPr>
  <dimension ref="A1:R221"/>
  <sheetViews>
    <sheetView zoomScaleNormal="100" workbookViewId="0">
      <selection activeCell="B4" sqref="B4"/>
    </sheetView>
  </sheetViews>
  <sheetFormatPr defaultRowHeight="12.75" x14ac:dyDescent="0.2"/>
  <cols>
    <col min="1" max="1" width="1.42578125" customWidth="1"/>
    <col min="2" max="2" width="14.7109375" customWidth="1"/>
    <col min="3" max="8" width="17.140625" customWidth="1"/>
    <col min="9" max="9" width="14" customWidth="1"/>
    <col min="10" max="10" width="15.5703125" customWidth="1"/>
    <col min="11" max="11" width="15.28515625" customWidth="1"/>
    <col min="12" max="12" width="14.85546875" customWidth="1"/>
    <col min="13" max="14" width="7.140625" customWidth="1"/>
    <col min="15" max="16" width="11.42578125" customWidth="1"/>
  </cols>
  <sheetData>
    <row r="1" spans="1:18" ht="22.5" customHeight="1" x14ac:dyDescent="0.2">
      <c r="B1" s="2062" t="s">
        <v>1448</v>
      </c>
      <c r="C1" s="2062"/>
      <c r="D1" s="2062"/>
      <c r="E1" s="2062"/>
      <c r="F1" s="2062"/>
      <c r="G1" s="2062"/>
      <c r="H1" s="2062"/>
      <c r="I1" s="2062"/>
      <c r="J1" s="2062"/>
      <c r="K1" s="2062"/>
      <c r="L1" s="14"/>
      <c r="M1" s="10"/>
      <c r="N1" s="10"/>
      <c r="O1" s="10"/>
      <c r="P1" s="10"/>
      <c r="Q1" s="10"/>
      <c r="R1" s="10"/>
    </row>
    <row r="2" spans="1:18" ht="162.75" customHeight="1" x14ac:dyDescent="0.2">
      <c r="A2" s="1"/>
      <c r="B2" s="2059"/>
      <c r="C2" s="2059"/>
      <c r="D2" s="2059"/>
      <c r="E2" s="2059"/>
      <c r="F2" s="2059"/>
      <c r="G2" s="2059"/>
      <c r="H2" s="2059"/>
      <c r="I2" s="2059"/>
      <c r="J2" s="2059"/>
      <c r="K2" s="2060"/>
      <c r="L2" s="14"/>
      <c r="M2" s="10"/>
      <c r="N2" s="10"/>
      <c r="O2" s="10"/>
      <c r="P2" s="10"/>
      <c r="Q2" s="10"/>
      <c r="R2" s="10"/>
    </row>
    <row r="3" spans="1:18" ht="25.5" customHeight="1" x14ac:dyDescent="0.25">
      <c r="A3" s="1"/>
      <c r="B3" s="2066" t="s">
        <v>1449</v>
      </c>
      <c r="C3" s="2066"/>
      <c r="D3" s="2066"/>
      <c r="E3" s="2066"/>
      <c r="F3" s="2066"/>
      <c r="G3" s="2066"/>
      <c r="H3" s="2066"/>
      <c r="I3" s="2066"/>
      <c r="J3" s="2066"/>
      <c r="K3" s="2067"/>
      <c r="L3" s="159"/>
      <c r="M3" s="10" t="s">
        <v>157</v>
      </c>
      <c r="N3" s="10"/>
      <c r="O3" s="10"/>
      <c r="P3" s="10"/>
      <c r="Q3" s="10"/>
      <c r="R3" s="10"/>
    </row>
    <row r="4" spans="1:18" ht="30" customHeight="1" x14ac:dyDescent="0.2">
      <c r="A4" s="1"/>
      <c r="B4" s="117"/>
      <c r="C4" s="118" t="s">
        <v>716</v>
      </c>
      <c r="D4" s="120"/>
      <c r="E4" s="121"/>
      <c r="F4" s="119"/>
      <c r="G4" s="121"/>
      <c r="H4" s="122"/>
      <c r="I4" s="124"/>
      <c r="J4" s="123"/>
      <c r="K4" s="214"/>
      <c r="L4" s="11"/>
      <c r="M4" s="10"/>
      <c r="N4" s="10" t="s">
        <v>156</v>
      </c>
      <c r="O4" s="10"/>
      <c r="P4" s="10"/>
      <c r="Q4" s="10"/>
      <c r="R4" s="10"/>
    </row>
    <row r="5" spans="1:18" ht="17.25" customHeight="1" x14ac:dyDescent="0.2">
      <c r="A5" s="2"/>
      <c r="B5" s="481"/>
      <c r="C5" s="482"/>
      <c r="D5" s="482"/>
      <c r="E5" s="482"/>
      <c r="F5" s="482"/>
      <c r="G5" s="482"/>
      <c r="H5" s="482"/>
      <c r="I5" s="482"/>
      <c r="J5" s="482"/>
      <c r="K5" s="483"/>
      <c r="L5" s="33"/>
      <c r="M5" s="10"/>
      <c r="N5" s="10"/>
      <c r="O5" s="10"/>
      <c r="P5" s="10"/>
      <c r="Q5" s="10"/>
    </row>
    <row r="6" spans="1:18" ht="13.5" customHeight="1" x14ac:dyDescent="0.2">
      <c r="A6" s="2"/>
      <c r="B6" s="484" t="s">
        <v>325</v>
      </c>
      <c r="C6" s="462"/>
      <c r="D6" s="462"/>
      <c r="E6" s="462"/>
      <c r="F6" s="462"/>
      <c r="G6" s="462"/>
      <c r="H6" s="462"/>
      <c r="I6" s="462"/>
      <c r="J6" s="462"/>
      <c r="K6" s="485"/>
      <c r="L6" s="33"/>
      <c r="M6" s="10"/>
      <c r="N6" s="10"/>
      <c r="O6" s="10"/>
      <c r="P6" s="10"/>
      <c r="Q6" s="10"/>
    </row>
    <row r="7" spans="1:18" ht="13.5" customHeight="1" x14ac:dyDescent="0.2">
      <c r="A7" s="2"/>
      <c r="B7" s="484" t="s">
        <v>326</v>
      </c>
      <c r="C7" s="462"/>
      <c r="D7" s="462"/>
      <c r="E7" s="462"/>
      <c r="F7" s="462"/>
      <c r="G7" s="462"/>
      <c r="H7" s="462"/>
      <c r="I7" s="462"/>
      <c r="J7" s="462"/>
      <c r="K7" s="485"/>
      <c r="L7" s="33"/>
      <c r="M7" s="10"/>
      <c r="N7" s="10"/>
      <c r="O7" s="10"/>
      <c r="P7" s="10"/>
      <c r="Q7" s="10"/>
    </row>
    <row r="8" spans="1:18" ht="13.5" customHeight="1" x14ac:dyDescent="0.2">
      <c r="A8" s="2"/>
      <c r="B8" s="484" t="s">
        <v>327</v>
      </c>
      <c r="C8" s="462"/>
      <c r="D8" s="462"/>
      <c r="E8" s="462"/>
      <c r="F8" s="462"/>
      <c r="G8" s="462"/>
      <c r="H8" s="462"/>
      <c r="I8" s="462"/>
      <c r="J8" s="462"/>
      <c r="K8" s="485"/>
      <c r="L8" s="33"/>
      <c r="M8" s="10"/>
      <c r="N8" s="10"/>
      <c r="O8" s="10"/>
      <c r="P8" s="10"/>
      <c r="Q8" s="10"/>
    </row>
    <row r="9" spans="1:18" ht="13.5" customHeight="1" x14ac:dyDescent="0.2">
      <c r="A9" s="2"/>
      <c r="B9" s="486" t="s">
        <v>328</v>
      </c>
      <c r="C9" s="462"/>
      <c r="D9" s="462"/>
      <c r="E9" s="462"/>
      <c r="F9" s="462"/>
      <c r="G9" s="462"/>
      <c r="H9" s="462"/>
      <c r="I9" s="462"/>
      <c r="J9" s="462"/>
      <c r="K9" s="485"/>
      <c r="L9" s="33"/>
      <c r="M9" s="10"/>
      <c r="N9" s="10"/>
      <c r="O9" s="10"/>
      <c r="P9" s="10"/>
      <c r="Q9" s="10"/>
    </row>
    <row r="10" spans="1:18" ht="13.5" customHeight="1" x14ac:dyDescent="0.2">
      <c r="A10" s="2"/>
      <c r="B10" s="486" t="s">
        <v>329</v>
      </c>
      <c r="C10" s="462"/>
      <c r="D10" s="462"/>
      <c r="E10" s="462"/>
      <c r="F10" s="462"/>
      <c r="G10" s="462"/>
      <c r="H10" s="462"/>
      <c r="I10" s="462"/>
      <c r="J10" s="462"/>
      <c r="K10" s="485"/>
      <c r="L10" s="33"/>
      <c r="M10" s="10"/>
      <c r="N10" s="10"/>
      <c r="O10" s="10"/>
      <c r="P10" s="10"/>
      <c r="Q10" s="10"/>
    </row>
    <row r="11" spans="1:18" ht="13.5" customHeight="1" x14ac:dyDescent="0.2">
      <c r="A11" s="2"/>
      <c r="B11" s="486" t="s">
        <v>1091</v>
      </c>
      <c r="C11" s="462"/>
      <c r="D11" s="462"/>
      <c r="E11" s="462"/>
      <c r="F11" s="462"/>
      <c r="G11" s="462"/>
      <c r="H11" s="462"/>
      <c r="I11" s="462"/>
      <c r="J11" s="462"/>
      <c r="K11" s="485"/>
      <c r="L11" s="33"/>
      <c r="M11" s="10"/>
      <c r="N11" s="10"/>
      <c r="O11" s="10"/>
      <c r="P11" s="10"/>
      <c r="Q11" s="10"/>
    </row>
    <row r="12" spans="1:18" ht="13.5" customHeight="1" x14ac:dyDescent="0.2">
      <c r="A12" s="2"/>
      <c r="B12" s="486" t="s">
        <v>1092</v>
      </c>
      <c r="C12" s="462"/>
      <c r="D12" s="462"/>
      <c r="E12" s="462"/>
      <c r="F12" s="462"/>
      <c r="G12" s="462"/>
      <c r="H12" s="462"/>
      <c r="I12" s="462"/>
      <c r="J12" s="462"/>
      <c r="K12" s="485"/>
      <c r="L12" s="33"/>
      <c r="M12" s="10"/>
      <c r="N12" s="10"/>
      <c r="O12" s="10"/>
      <c r="P12" s="10"/>
      <c r="Q12" s="10"/>
    </row>
    <row r="13" spans="1:18" ht="13.5" customHeight="1" x14ac:dyDescent="0.2">
      <c r="A13" s="2"/>
      <c r="B13" s="484" t="s">
        <v>865</v>
      </c>
      <c r="C13" s="462"/>
      <c r="D13" s="462"/>
      <c r="E13" s="462"/>
      <c r="F13" s="462"/>
      <c r="G13" s="462"/>
      <c r="H13" s="462"/>
      <c r="I13" s="462"/>
      <c r="J13" s="462"/>
      <c r="K13" s="485"/>
      <c r="L13" s="33"/>
      <c r="M13" s="10"/>
      <c r="N13" s="10"/>
      <c r="O13" s="10"/>
      <c r="P13" s="10"/>
      <c r="Q13" s="10"/>
    </row>
    <row r="14" spans="1:18" ht="13.5" customHeight="1" x14ac:dyDescent="0.2">
      <c r="A14" s="2"/>
      <c r="B14" s="566" t="s">
        <v>1331</v>
      </c>
      <c r="C14" s="462"/>
      <c r="D14" s="462"/>
      <c r="E14" s="462"/>
      <c r="F14" s="462"/>
      <c r="G14" s="462"/>
      <c r="H14" s="462"/>
      <c r="I14" s="462"/>
      <c r="J14" s="462"/>
      <c r="K14" s="485"/>
      <c r="L14" s="33"/>
      <c r="M14" s="10"/>
      <c r="N14" s="10"/>
      <c r="O14" s="10"/>
      <c r="P14" s="10"/>
      <c r="Q14" s="10"/>
    </row>
    <row r="15" spans="1:18" ht="13.5" customHeight="1" x14ac:dyDescent="0.2">
      <c r="A15" s="2"/>
      <c r="B15" s="435" t="s">
        <v>864</v>
      </c>
      <c r="C15" s="462"/>
      <c r="D15" s="462"/>
      <c r="E15" s="462"/>
      <c r="F15" s="462"/>
      <c r="G15" s="462"/>
      <c r="H15" s="462"/>
      <c r="I15" s="462"/>
      <c r="J15" s="462"/>
      <c r="K15" s="485"/>
      <c r="L15" s="33"/>
      <c r="M15" s="10"/>
      <c r="N15" s="10"/>
      <c r="O15" s="10"/>
      <c r="P15" s="10"/>
      <c r="Q15" s="10"/>
    </row>
    <row r="16" spans="1:18" ht="13.5" customHeight="1" x14ac:dyDescent="0.2">
      <c r="A16" s="2"/>
      <c r="B16" s="435" t="s">
        <v>1217</v>
      </c>
      <c r="C16" s="462"/>
      <c r="D16" s="462"/>
      <c r="E16" s="462"/>
      <c r="F16" s="462"/>
      <c r="G16" s="462"/>
      <c r="H16" s="462"/>
      <c r="I16" s="462"/>
      <c r="J16" s="462"/>
      <c r="K16" s="485"/>
      <c r="L16" s="33"/>
      <c r="M16" s="10"/>
      <c r="N16" s="10"/>
      <c r="O16" s="10"/>
      <c r="P16" s="10"/>
      <c r="Q16" s="10"/>
    </row>
    <row r="17" spans="1:17" ht="13.5" customHeight="1" x14ac:dyDescent="0.2">
      <c r="A17" s="2"/>
      <c r="B17" s="486"/>
      <c r="C17" s="462"/>
      <c r="D17" s="462"/>
      <c r="E17" s="462"/>
      <c r="F17" s="462"/>
      <c r="G17" s="462"/>
      <c r="H17" s="462"/>
      <c r="I17" s="462"/>
      <c r="J17" s="462"/>
      <c r="K17" s="485"/>
      <c r="L17" s="33"/>
      <c r="M17" s="10"/>
      <c r="N17" s="10"/>
      <c r="O17" s="10"/>
      <c r="P17" s="10"/>
      <c r="Q17" s="10"/>
    </row>
    <row r="18" spans="1:17" s="34" customFormat="1" ht="33.75" customHeight="1" thickBot="1" x14ac:dyDescent="0.25">
      <c r="A18" s="2"/>
      <c r="B18" s="451" t="s">
        <v>1381</v>
      </c>
      <c r="C18" s="439"/>
      <c r="D18" s="439"/>
      <c r="E18" s="439"/>
      <c r="F18" s="439"/>
      <c r="G18" s="439"/>
      <c r="H18" s="439"/>
      <c r="I18" s="439"/>
      <c r="J18" s="439"/>
      <c r="K18" s="439"/>
      <c r="L18" s="606"/>
      <c r="M18" s="60"/>
      <c r="N18" s="60"/>
      <c r="O18" s="60"/>
      <c r="P18" s="60"/>
      <c r="Q18" s="60"/>
    </row>
    <row r="19" spans="1:17" s="34" customFormat="1" ht="18.75" customHeight="1" x14ac:dyDescent="0.25">
      <c r="A19" s="296"/>
      <c r="B19" s="679"/>
      <c r="C19" s="1592" t="s">
        <v>1365</v>
      </c>
      <c r="D19" s="1593"/>
      <c r="E19" s="1592" t="s">
        <v>1365</v>
      </c>
      <c r="F19" s="1593"/>
      <c r="G19" s="1592" t="s">
        <v>1367</v>
      </c>
      <c r="H19" s="1592"/>
      <c r="I19" s="448"/>
      <c r="J19" s="449"/>
      <c r="K19" s="447"/>
      <c r="L19" s="728"/>
      <c r="M19" s="60"/>
      <c r="N19" s="60"/>
      <c r="O19" s="60"/>
      <c r="P19" s="60"/>
      <c r="Q19" s="60"/>
    </row>
    <row r="20" spans="1:17" ht="18.75" customHeight="1" x14ac:dyDescent="0.25">
      <c r="A20" s="296"/>
      <c r="B20" s="680"/>
      <c r="C20" s="1594" t="s">
        <v>1366</v>
      </c>
      <c r="D20" s="1595"/>
      <c r="E20" s="1594" t="s">
        <v>1220</v>
      </c>
      <c r="F20" s="1595"/>
      <c r="G20" s="1594" t="s">
        <v>1366</v>
      </c>
      <c r="H20" s="1595"/>
      <c r="I20" s="1954"/>
      <c r="J20" s="1955"/>
      <c r="K20" s="443"/>
      <c r="L20" s="727"/>
      <c r="M20" s="10"/>
      <c r="N20" s="10"/>
      <c r="O20" s="10"/>
      <c r="P20" s="10"/>
      <c r="Q20" s="10"/>
    </row>
    <row r="21" spans="1:17" ht="12.75" customHeight="1" x14ac:dyDescent="0.2">
      <c r="A21" s="296"/>
      <c r="B21" s="681"/>
      <c r="C21" s="1596" t="s">
        <v>911</v>
      </c>
      <c r="D21" s="1597"/>
      <c r="E21" s="1596" t="s">
        <v>1372</v>
      </c>
      <c r="F21" s="1597"/>
      <c r="G21" s="1598" t="s">
        <v>1377</v>
      </c>
      <c r="H21" s="1597"/>
      <c r="I21" s="325"/>
      <c r="J21" s="326"/>
      <c r="K21" s="327"/>
      <c r="L21" s="729"/>
      <c r="M21" s="10"/>
      <c r="N21" s="10"/>
      <c r="O21" s="10"/>
      <c r="P21" s="10"/>
      <c r="Q21" s="10"/>
    </row>
    <row r="22" spans="1:17" ht="12.75" customHeight="1" x14ac:dyDescent="0.2">
      <c r="A22" s="296"/>
      <c r="B22" s="681"/>
      <c r="C22" s="1596" t="s">
        <v>1369</v>
      </c>
      <c r="D22" s="1597"/>
      <c r="E22" s="1596" t="s">
        <v>1373</v>
      </c>
      <c r="F22" s="1597"/>
      <c r="G22" s="1598" t="s">
        <v>1378</v>
      </c>
      <c r="H22" s="1597"/>
      <c r="I22" s="325"/>
      <c r="J22" s="326"/>
      <c r="K22" s="327"/>
      <c r="L22" s="729"/>
      <c r="M22" s="10"/>
      <c r="N22" s="10"/>
      <c r="O22" s="10"/>
      <c r="P22" s="10"/>
      <c r="Q22" s="10"/>
    </row>
    <row r="23" spans="1:17" ht="12.75" customHeight="1" x14ac:dyDescent="0.2">
      <c r="A23" s="296"/>
      <c r="B23" s="681"/>
      <c r="C23" s="1596" t="s">
        <v>1370</v>
      </c>
      <c r="D23" s="1597"/>
      <c r="E23" s="1596" t="s">
        <v>912</v>
      </c>
      <c r="F23" s="1597"/>
      <c r="G23" s="1598" t="s">
        <v>1379</v>
      </c>
      <c r="H23" s="1597"/>
      <c r="I23" s="325"/>
      <c r="J23" s="326"/>
      <c r="K23" s="327"/>
      <c r="L23" s="729"/>
      <c r="M23" s="10"/>
      <c r="N23" s="10"/>
      <c r="O23" s="10"/>
      <c r="P23" s="10"/>
      <c r="Q23" s="10"/>
    </row>
    <row r="24" spans="1:17" ht="12.75" customHeight="1" x14ac:dyDescent="0.2">
      <c r="A24" s="296"/>
      <c r="B24" s="681"/>
      <c r="C24" s="1596" t="s">
        <v>1371</v>
      </c>
      <c r="D24" s="1597"/>
      <c r="E24" s="1596" t="s">
        <v>1374</v>
      </c>
      <c r="F24" s="1597"/>
      <c r="G24" s="1598" t="s">
        <v>1368</v>
      </c>
      <c r="H24" s="1597"/>
      <c r="I24" s="325"/>
      <c r="J24" s="326"/>
      <c r="K24" s="327"/>
      <c r="L24" s="729"/>
      <c r="M24" s="10"/>
      <c r="N24" s="10"/>
      <c r="O24" s="10"/>
      <c r="P24" s="10"/>
      <c r="Q24" s="10"/>
    </row>
    <row r="25" spans="1:17" ht="12.75" customHeight="1" x14ac:dyDescent="0.2">
      <c r="A25" s="296"/>
      <c r="B25" s="681"/>
      <c r="C25" s="1596"/>
      <c r="D25" s="1597"/>
      <c r="E25" s="1596" t="s">
        <v>1375</v>
      </c>
      <c r="F25" s="1597"/>
      <c r="G25" s="1598"/>
      <c r="H25" s="1597"/>
      <c r="I25" s="325"/>
      <c r="J25" s="326"/>
      <c r="K25" s="327"/>
      <c r="L25" s="729"/>
      <c r="M25" s="10"/>
      <c r="N25" s="10"/>
      <c r="O25" s="10"/>
      <c r="P25" s="10"/>
      <c r="Q25" s="10"/>
    </row>
    <row r="26" spans="1:17" ht="12.75" customHeight="1" x14ac:dyDescent="0.2">
      <c r="A26" s="296"/>
      <c r="B26" s="681"/>
      <c r="C26" s="1596"/>
      <c r="D26" s="1597"/>
      <c r="E26" s="1596" t="s">
        <v>1376</v>
      </c>
      <c r="F26" s="1597"/>
      <c r="G26" s="1598"/>
      <c r="H26" s="1597"/>
      <c r="I26" s="325"/>
      <c r="J26" s="326"/>
      <c r="K26" s="327"/>
      <c r="L26" s="729"/>
      <c r="M26" s="10"/>
      <c r="N26" s="10"/>
      <c r="O26" s="10"/>
      <c r="P26" s="10"/>
      <c r="Q26" s="10"/>
    </row>
    <row r="27" spans="1:17" ht="19.5" customHeight="1" x14ac:dyDescent="0.2">
      <c r="A27" s="296"/>
      <c r="B27" s="681"/>
      <c r="C27" s="444"/>
      <c r="D27" s="373"/>
      <c r="E27" s="444"/>
      <c r="F27" s="373"/>
      <c r="G27" s="445"/>
      <c r="H27" s="373"/>
      <c r="I27" s="325"/>
      <c r="J27" s="326"/>
      <c r="K27" s="327"/>
      <c r="L27" s="729"/>
      <c r="M27" s="10"/>
      <c r="N27" s="10"/>
      <c r="O27" s="10"/>
      <c r="P27" s="10"/>
      <c r="Q27" s="10"/>
    </row>
    <row r="28" spans="1:17" ht="19.5" customHeight="1" x14ac:dyDescent="0.2">
      <c r="A28" s="296"/>
      <c r="B28" s="681"/>
      <c r="C28" s="444"/>
      <c r="D28" s="373"/>
      <c r="E28" s="444"/>
      <c r="F28" s="373"/>
      <c r="G28" s="445"/>
      <c r="H28" s="373"/>
      <c r="I28" s="325"/>
      <c r="J28" s="326"/>
      <c r="K28" s="327"/>
      <c r="L28" s="729"/>
      <c r="M28" s="10"/>
      <c r="N28" s="10"/>
      <c r="O28" s="10"/>
      <c r="P28" s="10"/>
      <c r="Q28" s="10"/>
    </row>
    <row r="29" spans="1:17" ht="19.5" customHeight="1" x14ac:dyDescent="0.2">
      <c r="A29" s="296"/>
      <c r="B29" s="681"/>
      <c r="C29" s="444"/>
      <c r="D29" s="373"/>
      <c r="E29" s="444"/>
      <c r="F29" s="373"/>
      <c r="G29" s="445"/>
      <c r="H29" s="373"/>
      <c r="I29" s="325"/>
      <c r="J29" s="326"/>
      <c r="K29" s="327"/>
      <c r="L29" s="729"/>
      <c r="M29" s="10"/>
      <c r="N29" s="10"/>
      <c r="O29" s="10"/>
      <c r="P29" s="10"/>
      <c r="Q29" s="10"/>
    </row>
    <row r="30" spans="1:17" ht="16.5" customHeight="1" x14ac:dyDescent="0.2">
      <c r="A30" s="296"/>
      <c r="B30" s="681"/>
      <c r="C30" s="444"/>
      <c r="D30" s="373"/>
      <c r="E30" s="444"/>
      <c r="F30" s="373"/>
      <c r="G30" s="445"/>
      <c r="H30" s="373"/>
      <c r="I30" s="325"/>
      <c r="J30" s="326"/>
      <c r="K30" s="327"/>
      <c r="L30" s="729"/>
      <c r="M30" s="10"/>
      <c r="N30" s="10"/>
      <c r="O30" s="10"/>
      <c r="P30" s="10"/>
      <c r="Q30" s="10"/>
    </row>
    <row r="31" spans="1:17" ht="16.5" customHeight="1" x14ac:dyDescent="0.2">
      <c r="A31" s="296"/>
      <c r="B31" s="681"/>
      <c r="C31" s="444"/>
      <c r="D31" s="373"/>
      <c r="E31" s="444"/>
      <c r="F31" s="373"/>
      <c r="G31" s="445"/>
      <c r="H31" s="373"/>
      <c r="I31" s="325"/>
      <c r="J31" s="326"/>
      <c r="K31" s="327"/>
      <c r="L31" s="729"/>
      <c r="M31" s="10"/>
      <c r="N31" s="10"/>
      <c r="O31" s="10"/>
      <c r="P31" s="10"/>
      <c r="Q31" s="10"/>
    </row>
    <row r="32" spans="1:17" ht="16.5" customHeight="1" x14ac:dyDescent="0.2">
      <c r="A32" s="296"/>
      <c r="B32" s="681"/>
      <c r="C32" s="444"/>
      <c r="D32" s="373"/>
      <c r="E32" s="444"/>
      <c r="F32" s="373"/>
      <c r="G32" s="445"/>
      <c r="H32" s="373"/>
      <c r="I32" s="325"/>
      <c r="J32" s="326"/>
      <c r="K32" s="327"/>
      <c r="L32" s="729"/>
      <c r="M32" s="10"/>
      <c r="N32" s="10"/>
      <c r="O32" s="10"/>
      <c r="P32" s="10"/>
      <c r="Q32" s="10"/>
    </row>
    <row r="33" spans="1:17" ht="15.75" customHeight="1" x14ac:dyDescent="0.2">
      <c r="A33" s="296"/>
      <c r="B33" s="681"/>
      <c r="C33" s="444"/>
      <c r="D33" s="373"/>
      <c r="E33" s="444"/>
      <c r="F33" s="373"/>
      <c r="G33" s="445"/>
      <c r="H33" s="373"/>
      <c r="I33" s="325"/>
      <c r="J33" s="326"/>
      <c r="K33" s="327"/>
      <c r="L33" s="729"/>
      <c r="M33" s="10"/>
      <c r="N33" s="10"/>
      <c r="O33" s="10"/>
      <c r="P33" s="10"/>
      <c r="Q33" s="10"/>
    </row>
    <row r="34" spans="1:17" ht="15.75" customHeight="1" x14ac:dyDescent="0.2">
      <c r="A34" s="296"/>
      <c r="B34" s="681"/>
      <c r="C34" s="444"/>
      <c r="D34" s="373"/>
      <c r="E34" s="444"/>
      <c r="F34" s="373"/>
      <c r="G34" s="445"/>
      <c r="H34" s="373"/>
      <c r="I34" s="325"/>
      <c r="J34" s="326"/>
      <c r="K34" s="327"/>
      <c r="L34" s="729"/>
      <c r="M34" s="10"/>
      <c r="N34" s="10"/>
      <c r="O34" s="10"/>
      <c r="P34" s="10"/>
      <c r="Q34" s="10"/>
    </row>
    <row r="35" spans="1:17" ht="15.75" customHeight="1" x14ac:dyDescent="0.2">
      <c r="A35" s="296"/>
      <c r="B35" s="496"/>
      <c r="C35" s="444"/>
      <c r="D35" s="373"/>
      <c r="E35" s="444"/>
      <c r="F35" s="373"/>
      <c r="G35" s="445"/>
      <c r="H35" s="373"/>
      <c r="I35" s="325"/>
      <c r="J35" s="326"/>
      <c r="K35" s="327"/>
      <c r="L35" s="729"/>
      <c r="M35" s="10"/>
      <c r="N35" s="10"/>
      <c r="O35" s="10"/>
      <c r="P35" s="10"/>
      <c r="Q35" s="10"/>
    </row>
    <row r="36" spans="1:17" ht="18" customHeight="1" x14ac:dyDescent="0.2">
      <c r="A36" s="296"/>
      <c r="B36" s="496"/>
      <c r="C36" s="675" t="b">
        <v>0</v>
      </c>
      <c r="D36" s="446"/>
      <c r="E36" s="444"/>
      <c r="F36" s="373"/>
      <c r="G36" s="445"/>
      <c r="H36" s="373"/>
      <c r="I36" s="440"/>
      <c r="J36" s="441"/>
      <c r="K36" s="442"/>
      <c r="L36" s="730"/>
      <c r="M36" s="10"/>
      <c r="N36" s="10"/>
      <c r="O36" s="10"/>
      <c r="P36" s="10"/>
      <c r="Q36" s="10"/>
    </row>
    <row r="37" spans="1:17" ht="15" customHeight="1" x14ac:dyDescent="0.2">
      <c r="A37" s="296"/>
      <c r="B37" s="496"/>
      <c r="C37" s="676"/>
      <c r="D37" s="76"/>
      <c r="E37" s="353"/>
      <c r="F37" s="354"/>
      <c r="G37" s="355"/>
      <c r="H37" s="356"/>
      <c r="I37" s="1580" t="s">
        <v>416</v>
      </c>
      <c r="J37" s="1581"/>
      <c r="K37" s="1578" t="s">
        <v>653</v>
      </c>
      <c r="L37" s="1579" t="s">
        <v>694</v>
      </c>
      <c r="M37" s="10"/>
      <c r="N37" s="10"/>
      <c r="O37" s="10"/>
      <c r="P37" s="10"/>
      <c r="Q37" s="10"/>
    </row>
    <row r="38" spans="1:17" ht="14.25" customHeight="1" x14ac:dyDescent="0.2">
      <c r="A38" s="296"/>
      <c r="B38" s="496"/>
      <c r="C38" s="1587" t="s">
        <v>744</v>
      </c>
      <c r="D38" s="1588"/>
      <c r="E38" s="1589" t="s">
        <v>744</v>
      </c>
      <c r="F38" s="1590"/>
      <c r="G38" s="1589" t="s">
        <v>744</v>
      </c>
      <c r="H38" s="1590"/>
      <c r="I38" s="160"/>
      <c r="J38" s="72"/>
      <c r="K38" s="677" t="s">
        <v>1303</v>
      </c>
      <c r="L38" s="677" t="s">
        <v>925</v>
      </c>
      <c r="M38" s="10"/>
      <c r="N38" s="10"/>
      <c r="O38" s="10"/>
      <c r="P38" s="10"/>
      <c r="Q38" s="10"/>
    </row>
    <row r="39" spans="1:17" ht="14.25" customHeight="1" x14ac:dyDescent="0.2">
      <c r="A39" s="296"/>
      <c r="B39" s="496"/>
      <c r="C39" s="97" t="s">
        <v>708</v>
      </c>
      <c r="D39" s="1652" t="b">
        <v>1</v>
      </c>
      <c r="E39" s="99" t="s">
        <v>709</v>
      </c>
      <c r="F39" s="1654"/>
      <c r="G39" s="99" t="s">
        <v>709</v>
      </c>
      <c r="H39" s="162"/>
      <c r="I39" s="141"/>
      <c r="J39" s="142"/>
      <c r="K39" s="677" t="s">
        <v>1304</v>
      </c>
      <c r="L39" s="677" t="s">
        <v>926</v>
      </c>
      <c r="M39" s="10"/>
      <c r="N39" s="10"/>
      <c r="O39" s="10"/>
      <c r="P39" s="10"/>
      <c r="Q39" s="10"/>
    </row>
    <row r="40" spans="1:17" ht="14.25" customHeight="1" x14ac:dyDescent="0.2">
      <c r="A40" s="296"/>
      <c r="B40" s="496"/>
      <c r="C40" s="1657"/>
      <c r="D40" s="1658">
        <v>2</v>
      </c>
      <c r="E40" s="1659"/>
      <c r="F40" s="1660">
        <v>2</v>
      </c>
      <c r="G40" s="99" t="s">
        <v>42</v>
      </c>
      <c r="H40" s="162"/>
      <c r="I40" s="158"/>
      <c r="J40" s="95"/>
      <c r="K40" s="677" t="s">
        <v>463</v>
      </c>
      <c r="L40" s="677" t="s">
        <v>692</v>
      </c>
      <c r="M40" s="10"/>
      <c r="N40" s="10"/>
      <c r="O40" s="10"/>
      <c r="P40" s="10"/>
      <c r="Q40" s="10"/>
    </row>
    <row r="41" spans="1:17" ht="14.25" customHeight="1" thickBot="1" x14ac:dyDescent="0.25">
      <c r="A41" s="296"/>
      <c r="B41" s="497"/>
      <c r="C41" s="661" t="s">
        <v>41</v>
      </c>
      <c r="D41" s="1653"/>
      <c r="E41" s="97" t="s">
        <v>41</v>
      </c>
      <c r="F41" s="1655"/>
      <c r="G41" s="668" t="s">
        <v>40</v>
      </c>
      <c r="H41" s="660"/>
      <c r="I41" s="158"/>
      <c r="J41" s="95"/>
      <c r="K41" s="683" t="s">
        <v>1308</v>
      </c>
      <c r="L41" s="683"/>
      <c r="M41" s="10"/>
      <c r="N41" s="10"/>
      <c r="O41" s="10"/>
      <c r="P41" s="10"/>
      <c r="Q41" s="10"/>
    </row>
    <row r="42" spans="1:17" ht="15" customHeight="1" thickBot="1" x14ac:dyDescent="0.25">
      <c r="A42" s="296"/>
      <c r="B42" s="496"/>
      <c r="C42" s="682" t="s">
        <v>987</v>
      </c>
      <c r="D42" s="1591">
        <v>10</v>
      </c>
      <c r="E42" s="667" t="s">
        <v>1199</v>
      </c>
      <c r="F42" s="1635">
        <v>10</v>
      </c>
      <c r="G42" s="669" t="s">
        <v>1199</v>
      </c>
      <c r="H42" s="1591">
        <v>10</v>
      </c>
      <c r="I42" s="742" t="s">
        <v>563</v>
      </c>
      <c r="J42" s="743"/>
      <c r="K42" s="683" t="s">
        <v>1305</v>
      </c>
      <c r="L42" s="683"/>
      <c r="M42" s="10"/>
      <c r="N42" s="10"/>
      <c r="O42" s="10"/>
      <c r="P42" s="10"/>
      <c r="Q42" s="10"/>
    </row>
    <row r="43" spans="1:17" ht="15" customHeight="1" x14ac:dyDescent="0.2">
      <c r="A43" s="296"/>
      <c r="B43" s="496"/>
      <c r="C43" s="1648" t="b">
        <v>0</v>
      </c>
      <c r="D43" s="1650" t="str">
        <f>IF(C43=TRUE,SUM(ПД*2,D42*КММ*2),"0")</f>
        <v>0</v>
      </c>
      <c r="E43" s="674" t="b">
        <v>0</v>
      </c>
      <c r="F43" s="1656" t="str">
        <f>IF(E43=TRUE,SUM(ПД*2,F42*КММ*2),"0")</f>
        <v>0</v>
      </c>
      <c r="G43" s="673" t="b">
        <v>0</v>
      </c>
      <c r="H43" s="685" t="str">
        <f>IF(G43=TRUE,SUM(ПД*4,H42*КММ*4),"0")</f>
        <v>0</v>
      </c>
      <c r="I43" s="742" t="s">
        <v>564</v>
      </c>
      <c r="J43" s="743"/>
      <c r="K43" s="139"/>
      <c r="L43" s="139"/>
      <c r="M43" s="10"/>
      <c r="N43" s="10"/>
      <c r="O43" s="10"/>
      <c r="P43" s="10"/>
      <c r="Q43" s="10"/>
    </row>
    <row r="44" spans="1:17" ht="15" customHeight="1" x14ac:dyDescent="0.2">
      <c r="A44" s="296"/>
      <c r="B44" s="496"/>
      <c r="C44" s="1649" t="b">
        <v>0</v>
      </c>
      <c r="D44" s="1651">
        <f>IF(D40=2,SUM(ИБ2,D42*РК50*4,D42*КММ*2,D43),IF(D40=1,SUM(ИБ2,D42*РК50*2,D42*КММ*2,D43)))</f>
        <v>58420</v>
      </c>
      <c r="E44" s="674" t="b">
        <v>0</v>
      </c>
      <c r="F44" s="1651">
        <f>IF(F40=2,SUM(ИБ4,F42*РК50*8,F42*КММ*2,F43),IF(F40=1,SUM(ИБ4,F42*РК50*4,F42*КММ*2,F43)))</f>
        <v>80820</v>
      </c>
      <c r="G44" s="674" t="b">
        <v>0</v>
      </c>
      <c r="H44" s="684">
        <f>SUM(ИБ4,H42*РК50*8,H42*КММ*4,H43)</f>
        <v>81840</v>
      </c>
      <c r="I44" s="742" t="s">
        <v>565</v>
      </c>
      <c r="J44" s="743"/>
      <c r="K44" s="139"/>
      <c r="L44" s="584"/>
      <c r="M44" s="10"/>
      <c r="N44" s="10"/>
      <c r="O44" s="10"/>
      <c r="P44" s="10"/>
      <c r="Q44" s="10"/>
    </row>
    <row r="45" spans="1:17" ht="4.5" customHeight="1" x14ac:dyDescent="0.2">
      <c r="A45" s="296"/>
      <c r="B45" s="496"/>
      <c r="C45" s="1613"/>
      <c r="D45" s="1614"/>
      <c r="E45" s="664"/>
      <c r="F45" s="1629"/>
      <c r="G45" s="664"/>
      <c r="H45" s="324"/>
      <c r="I45" s="744"/>
      <c r="J45" s="743"/>
      <c r="K45" s="584"/>
      <c r="L45" s="584"/>
      <c r="M45" s="10"/>
      <c r="N45" s="10"/>
      <c r="O45" s="10"/>
      <c r="P45" s="10"/>
      <c r="Q45" s="10"/>
    </row>
    <row r="46" spans="1:17" ht="12" customHeight="1" x14ac:dyDescent="0.2">
      <c r="A46" s="296"/>
      <c r="B46" s="496"/>
      <c r="C46" s="1615"/>
      <c r="D46" s="1616"/>
      <c r="E46" s="665"/>
      <c r="F46" s="1630"/>
      <c r="G46" s="670"/>
      <c r="H46" s="666"/>
      <c r="I46" s="744" t="s">
        <v>255</v>
      </c>
      <c r="J46" s="743"/>
      <c r="K46" s="584" t="s">
        <v>1309</v>
      </c>
      <c r="L46" s="584" t="s">
        <v>690</v>
      </c>
      <c r="M46" s="10"/>
      <c r="N46" s="10"/>
      <c r="O46" s="10"/>
      <c r="P46" s="10"/>
      <c r="Q46" s="10"/>
    </row>
    <row r="47" spans="1:17" ht="12" customHeight="1" x14ac:dyDescent="0.25">
      <c r="A47" s="296"/>
      <c r="B47" s="496"/>
      <c r="C47" s="1617"/>
      <c r="D47" s="1618"/>
      <c r="E47" s="174"/>
      <c r="F47" s="1631"/>
      <c r="G47" s="176"/>
      <c r="H47" s="662"/>
      <c r="I47" s="744" t="s">
        <v>256</v>
      </c>
      <c r="J47" s="743"/>
      <c r="K47" s="584" t="s">
        <v>1310</v>
      </c>
      <c r="L47" s="584" t="s">
        <v>691</v>
      </c>
      <c r="M47" s="10"/>
      <c r="N47" s="10"/>
      <c r="O47" s="10"/>
      <c r="P47" s="10"/>
      <c r="Q47" s="10"/>
    </row>
    <row r="48" spans="1:17" ht="11.25" customHeight="1" x14ac:dyDescent="0.2">
      <c r="A48" s="296"/>
      <c r="B48" s="496"/>
      <c r="C48" s="1619"/>
      <c r="D48" s="1620"/>
      <c r="E48" s="104"/>
      <c r="F48" s="1631"/>
      <c r="G48" s="175"/>
      <c r="H48" s="671"/>
      <c r="I48" s="744" t="s">
        <v>257</v>
      </c>
      <c r="J48" s="743"/>
      <c r="K48" s="585" t="s">
        <v>1130</v>
      </c>
      <c r="L48" s="135"/>
      <c r="M48" s="10"/>
      <c r="N48" s="10"/>
      <c r="O48" s="10"/>
      <c r="P48" s="10"/>
      <c r="Q48" s="10"/>
    </row>
    <row r="49" spans="1:17" ht="12" customHeight="1" x14ac:dyDescent="0.2">
      <c r="A49" s="296"/>
      <c r="B49" s="496"/>
      <c r="C49" s="1619"/>
      <c r="D49" s="1621"/>
      <c r="E49" s="101"/>
      <c r="F49" s="1631"/>
      <c r="G49" s="101"/>
      <c r="H49" s="672"/>
      <c r="I49" s="744" t="s">
        <v>258</v>
      </c>
      <c r="J49" s="743"/>
      <c r="K49" s="585" t="s">
        <v>1129</v>
      </c>
      <c r="L49" s="135"/>
      <c r="M49" s="10"/>
      <c r="N49" s="10"/>
      <c r="O49" s="10"/>
      <c r="P49" s="10"/>
      <c r="Q49" s="10"/>
    </row>
    <row r="50" spans="1:17" ht="11.25" customHeight="1" x14ac:dyDescent="0.2">
      <c r="A50" s="296"/>
      <c r="B50" s="496"/>
      <c r="C50" s="1622"/>
      <c r="D50" s="1621"/>
      <c r="E50" s="101"/>
      <c r="F50" s="1632"/>
      <c r="G50" s="138"/>
      <c r="H50" s="672"/>
      <c r="I50" s="744" t="s">
        <v>259</v>
      </c>
      <c r="J50" s="743"/>
      <c r="K50" s="140"/>
      <c r="L50" s="140"/>
      <c r="M50" s="10"/>
      <c r="N50" s="10"/>
      <c r="O50" s="10"/>
      <c r="P50" s="10"/>
      <c r="Q50" s="10"/>
    </row>
    <row r="51" spans="1:17" ht="15" customHeight="1" x14ac:dyDescent="0.25">
      <c r="A51" s="296"/>
      <c r="B51" s="496"/>
      <c r="C51" s="1633" t="s">
        <v>964</v>
      </c>
      <c r="D51" s="1634" t="s">
        <v>964</v>
      </c>
      <c r="E51" s="105" t="s">
        <v>964</v>
      </c>
      <c r="F51" s="105" t="s">
        <v>964</v>
      </c>
      <c r="G51" s="105" t="s">
        <v>839</v>
      </c>
      <c r="H51" s="662" t="s">
        <v>839</v>
      </c>
      <c r="I51" s="744"/>
      <c r="J51" s="743"/>
      <c r="K51" s="140"/>
      <c r="L51" s="140"/>
      <c r="M51" s="10"/>
      <c r="N51" s="10"/>
      <c r="O51" s="10"/>
      <c r="P51" s="10"/>
      <c r="Q51" s="10"/>
    </row>
    <row r="52" spans="1:17" ht="11.25" customHeight="1" x14ac:dyDescent="0.2">
      <c r="A52" s="296"/>
      <c r="B52" s="496"/>
      <c r="C52" s="1623"/>
      <c r="D52" s="1624"/>
      <c r="E52" s="96"/>
      <c r="F52" s="134"/>
      <c r="G52" s="96"/>
      <c r="H52" s="134"/>
      <c r="I52" s="744" t="s">
        <v>1325</v>
      </c>
      <c r="J52" s="745"/>
      <c r="K52" s="177"/>
      <c r="L52" s="303"/>
      <c r="M52" s="10"/>
      <c r="N52" s="10"/>
      <c r="O52" s="10"/>
      <c r="P52" s="10"/>
      <c r="Q52" s="10"/>
    </row>
    <row r="53" spans="1:17" ht="11.25" customHeight="1" x14ac:dyDescent="0.2">
      <c r="A53" s="296"/>
      <c r="B53" s="496"/>
      <c r="C53" s="1623"/>
      <c r="D53" s="1624"/>
      <c r="E53" s="96"/>
      <c r="F53" s="134"/>
      <c r="G53" s="96"/>
      <c r="H53" s="134"/>
      <c r="I53" s="746" t="s">
        <v>260</v>
      </c>
      <c r="J53" s="747"/>
      <c r="K53" s="165"/>
      <c r="L53" s="731"/>
      <c r="M53" s="10"/>
      <c r="N53" s="10"/>
      <c r="O53" s="10"/>
      <c r="P53" s="10"/>
      <c r="Q53" s="10"/>
    </row>
    <row r="54" spans="1:17" ht="11.25" customHeight="1" x14ac:dyDescent="0.2">
      <c r="A54" s="1"/>
      <c r="B54" s="496"/>
      <c r="C54" s="1625"/>
      <c r="D54" s="1624"/>
      <c r="E54" s="96"/>
      <c r="F54" s="134"/>
      <c r="G54" s="96"/>
      <c r="H54" s="134"/>
      <c r="I54" s="686" t="s">
        <v>7</v>
      </c>
      <c r="J54" s="573"/>
      <c r="K54" s="164"/>
      <c r="L54" s="723"/>
      <c r="M54" s="10"/>
      <c r="N54" s="10"/>
      <c r="O54" s="10"/>
      <c r="P54" s="10"/>
      <c r="Q54" s="10"/>
    </row>
    <row r="55" spans="1:17" ht="15" customHeight="1" x14ac:dyDescent="0.25">
      <c r="A55" s="296"/>
      <c r="B55" s="329" t="s">
        <v>654</v>
      </c>
      <c r="C55" s="1626"/>
      <c r="D55" s="1627"/>
      <c r="E55" s="299"/>
      <c r="F55" s="298"/>
      <c r="G55" s="299"/>
      <c r="H55" s="300"/>
      <c r="I55" s="1636"/>
      <c r="J55" s="330"/>
      <c r="K55" s="331"/>
      <c r="L55" s="732"/>
      <c r="M55" s="10"/>
      <c r="N55" s="10"/>
      <c r="O55" s="10"/>
      <c r="P55" s="10"/>
      <c r="Q55" s="10"/>
    </row>
    <row r="56" spans="1:17" ht="15" customHeight="1" x14ac:dyDescent="0.2">
      <c r="A56" s="296"/>
      <c r="B56" s="212" t="s">
        <v>158</v>
      </c>
      <c r="C56" s="309" t="s">
        <v>472</v>
      </c>
      <c r="D56" s="562" t="s">
        <v>986</v>
      </c>
      <c r="E56" s="309"/>
      <c r="F56" s="563" t="s">
        <v>986</v>
      </c>
      <c r="G56" s="309" t="s">
        <v>472</v>
      </c>
      <c r="H56" s="563" t="s">
        <v>986</v>
      </c>
      <c r="I56" s="311" t="s">
        <v>44</v>
      </c>
      <c r="J56" s="302" t="s">
        <v>837</v>
      </c>
      <c r="K56" s="737" t="s">
        <v>1302</v>
      </c>
      <c r="L56" s="493" t="s">
        <v>693</v>
      </c>
      <c r="M56" s="154"/>
      <c r="N56" s="10"/>
      <c r="O56" s="10"/>
      <c r="P56" s="10"/>
      <c r="Q56" s="10"/>
    </row>
    <row r="57" spans="1:17" ht="15" customHeight="1" x14ac:dyDescent="0.2">
      <c r="A57" s="296"/>
      <c r="B57" s="561">
        <v>15</v>
      </c>
      <c r="C57" s="1640">
        <f>IF(AND(D40=1,$C$44=TRUE),"резьбовой!",IF(AND(D40=1,$C$44=FALSE),SUM($D$44,ТС1,УПР_015РГ1),IF(AND(D40=2,$C$44=TRUE),"резьбовой!",IF(AND(D40=2,$C$44=FALSE),SUM($D$44,ТС1,УПР_015РГ1*2),""))))</f>
        <v>103020</v>
      </c>
      <c r="D57" s="1641">
        <f>IF(AND(D40=1,$C$44=TRUE),SUM($D$44,ТС1,УПР_015ФГ1,КОФ_15),IF(AND(D40=1,$C$44=FALSE),SUM($D$44,ТС1,УПР_015ФГ1),IF(AND(D40=2,$C$44=TRUE),SUM($D$44,ТС1,УПР_015ФГ1*2,КОФ_15*2),IF(AND(D40=2,$C$44=FALSE),SUM($D$44,ТС1,УПР_015ФГ1*2),""))))</f>
        <v>105820</v>
      </c>
      <c r="E57" s="786"/>
      <c r="F57" s="687"/>
      <c r="G57" s="786">
        <f>IF($G$44=TRUE,"резьбовой!",SUM($H$44,ТС1*2,УПР_015РГ1*4))</f>
        <v>171040</v>
      </c>
      <c r="H57" s="789">
        <f>IF($G$44=TRUE,SUM($H$44,ТС1*2,УПР_015ФГ1*4,КОФ_15*4),SUM($H$44,ТС1*2,УПР_015ФГ1*4))</f>
        <v>176640</v>
      </c>
      <c r="I57" s="793" t="s">
        <v>1131</v>
      </c>
      <c r="J57" s="792" t="s">
        <v>1125</v>
      </c>
      <c r="K57" s="756">
        <f>КОФ_15</f>
        <v>2100</v>
      </c>
      <c r="L57" s="756">
        <f>ящ_15</f>
        <v>1400</v>
      </c>
      <c r="M57" s="10"/>
      <c r="N57" s="10"/>
      <c r="O57" s="10"/>
      <c r="P57" s="10"/>
      <c r="Q57" s="10"/>
    </row>
    <row r="58" spans="1:17" ht="15" customHeight="1" x14ac:dyDescent="0.2">
      <c r="A58" s="1"/>
      <c r="B58" s="288">
        <v>20</v>
      </c>
      <c r="C58" s="1640">
        <f>IF(AND(D40=1,$C$44=TRUE),"резьбовой!",IF(AND(D40=1,$C$44=FALSE),SUM($D$44,ТС1,УПР_025РГ1),IF(AND(D40=2,$C$44=TRUE),"резьбовой!",IF(AND(D40=2,$C$44=FALSE),SUM($D$44,ТС1,УПР_025РГ1*2),""))))</f>
        <v>105820</v>
      </c>
      <c r="D58" s="1642">
        <f>IF(AND(D40=1,$C$44=TRUE),SUM($D$44,ТС1,УПР_025ФГ1,КОФ_25),IF(AND(D40=1,$C$44=FALSE),SUM($D$44,ТС1,УПР_025ФГ1),IF(AND(D40=2,$C$44=TRUE),SUM($D$44,ТС1,УПР_025ФГ1*2,КОФ_25*2),IF(AND(D40=2,$C$44=FALSE),SUM($D$44,ТС1,УПР_025ФГ1*2),""))))</f>
        <v>111420</v>
      </c>
      <c r="E58" s="781"/>
      <c r="F58" s="783"/>
      <c r="G58" s="787">
        <f>IF($G$44=TRUE,"резьбовой!",SUM($H$44,ТС1*2,УПР_025РГ1*4))</f>
        <v>176640</v>
      </c>
      <c r="H58" s="778">
        <f>IF($G$44=TRUE,SUM($H$44,ТС1*2,УПР_025ФГ1*4,КОФ_25*4),SUM($H$44,ТС1*2,УПР_025ФГ1*4))</f>
        <v>187840</v>
      </c>
      <c r="I58" s="769" t="s">
        <v>1131</v>
      </c>
      <c r="J58" s="763" t="s">
        <v>1125</v>
      </c>
      <c r="K58" s="758">
        <f>КОФ_25</f>
        <v>2520</v>
      </c>
      <c r="L58" s="760">
        <f>ящ_25</f>
        <v>1400</v>
      </c>
      <c r="M58" s="10"/>
      <c r="N58" s="10"/>
      <c r="O58" s="10"/>
      <c r="P58" s="10"/>
      <c r="Q58" s="10"/>
    </row>
    <row r="59" spans="1:17" ht="15" customHeight="1" x14ac:dyDescent="0.2">
      <c r="A59" s="1"/>
      <c r="B59" s="288">
        <v>25</v>
      </c>
      <c r="C59" s="1640">
        <f>IF(AND(D40=1,$C$44=TRUE),"резьбовой!",IF(AND(D40=1,$C$44=FALSE),SUM($D$44,ТС1,УПР_025РГ1),IF(AND(D40=2,$C$44=TRUE),"резьбовой!",IF(AND(D40=2,$C$44=FALSE),SUM($D$44,ТС1,УПР_025РГ1*2),""))))</f>
        <v>105820</v>
      </c>
      <c r="D59" s="1642">
        <f>IF(AND(D40=1,$C$44=TRUE),SUM($D$44,ТС1,УПР_025ФГ1,КОФ_25),IF(AND(D40=1,$C$44=FALSE),SUM($D$44,ТС1,УПР_025ФГ1),IF(AND(D40=2,$C$44=TRUE),SUM($D$44,ТС1,УПР_025ФГ1*2,КОФ_25*2),IF(AND(D40=2,$C$44=FALSE),SUM($D$44,ТС1,УПР_025ФГ1*2),""))))</f>
        <v>111420</v>
      </c>
      <c r="E59" s="781"/>
      <c r="F59" s="783"/>
      <c r="G59" s="787">
        <f>IF($G$44=TRUE,"резьбовой!",SUM($H$44,ТС1*2,УПР_025РГ1*4))</f>
        <v>176640</v>
      </c>
      <c r="H59" s="778">
        <f>IF($G$44=TRUE,SUM($H$44,ТС1*2,УПР_025ФГ1*4,КОФ_25*4),SUM($H$44,ТС1*2,УПР_025ФГ1*4))</f>
        <v>187840</v>
      </c>
      <c r="I59" s="769" t="s">
        <v>1131</v>
      </c>
      <c r="J59" s="763" t="s">
        <v>1125</v>
      </c>
      <c r="K59" s="758">
        <f>КОФ_25</f>
        <v>2520</v>
      </c>
      <c r="L59" s="760">
        <f>ящ_25</f>
        <v>1400</v>
      </c>
      <c r="M59" s="10"/>
      <c r="N59" s="10"/>
      <c r="O59" s="10"/>
      <c r="P59" s="10"/>
      <c r="Q59" s="10"/>
    </row>
    <row r="60" spans="1:17" ht="15" customHeight="1" x14ac:dyDescent="0.2">
      <c r="A60" s="1"/>
      <c r="B60" s="288">
        <v>32</v>
      </c>
      <c r="C60" s="1643"/>
      <c r="D60" s="1642">
        <f>IF(AND(D40=1,$C$44=TRUE),SUM($D$44,ТС1,УПР_032ФГ1,КОФ_32),IF(AND(D40=1,$C$44=FALSE),SUM($D$44,ТС1,УПР_032ФГ1),IF(AND(D40=2,$C$44=TRUE),SUM($D$44,ТС1,УПР_032ФГ1*2,КОФ_32*2),IF(AND(D40=2,$C$44=FALSE),SUM($D$44,ТС1,УПР_032ФГ1*2),""))))</f>
        <v>97420</v>
      </c>
      <c r="E60" s="779"/>
      <c r="F60" s="784"/>
      <c r="G60" s="788"/>
      <c r="H60" s="688">
        <f>IF($G$44=TRUE,SUM($H$44,ТС1*2,УПР_032ФГ1*4,КОФ_32*4),SUM($H$44,ТС1*2,УПР_032ФГ1*4))</f>
        <v>159840</v>
      </c>
      <c r="I60" s="770" t="s">
        <v>1131</v>
      </c>
      <c r="J60" s="763" t="s">
        <v>1125</v>
      </c>
      <c r="K60" s="760">
        <f>КОФ_32</f>
        <v>2800</v>
      </c>
      <c r="L60" s="760">
        <f>ящ_32</f>
        <v>1400</v>
      </c>
      <c r="M60" s="10"/>
      <c r="N60" s="10"/>
      <c r="O60" s="10"/>
      <c r="P60" s="10"/>
      <c r="Q60" s="10"/>
    </row>
    <row r="61" spans="1:17" ht="15" customHeight="1" x14ac:dyDescent="0.2">
      <c r="A61" s="1"/>
      <c r="B61" s="288">
        <v>40</v>
      </c>
      <c r="C61" s="1644"/>
      <c r="D61" s="1642">
        <f>IF(AND(D40=1,$C$44=TRUE),SUM($D$44,ТС1,УПР_040ФГ1,КОФ_40),IF(AND(D40=1,$C$44=FALSE),SUM($D$44,ТС1,УПР_040ФГ1),IF(AND(D40=2,$C$44=TRUE),SUM($D$44,ТС1,УПР_040ФГ1*2,КОФ_40*2),IF(AND(D40=2,$C$44=FALSE),SUM($D$44,ТС1,УПР_040ФГ1*2),""))))</f>
        <v>97420</v>
      </c>
      <c r="E61" s="781"/>
      <c r="F61" s="688"/>
      <c r="G61" s="781"/>
      <c r="H61" s="778">
        <f>IF($G$44=TRUE,SUM($H$44,ТС1*2,УПР_040ФГ1*4,КОФ_40*4),SUM($H$44,ТС1*2,УПР_040ФГ1*4))</f>
        <v>159840</v>
      </c>
      <c r="I61" s="794" t="s">
        <v>1131</v>
      </c>
      <c r="J61" s="763" t="s">
        <v>1125</v>
      </c>
      <c r="K61" s="761">
        <f>КОФ_40</f>
        <v>2800</v>
      </c>
      <c r="L61" s="760">
        <f>ящ_40</f>
        <v>1400</v>
      </c>
      <c r="M61" s="10"/>
      <c r="N61" s="10"/>
      <c r="O61" s="10"/>
      <c r="P61" s="10"/>
      <c r="Q61" s="10"/>
    </row>
    <row r="62" spans="1:17" ht="15" customHeight="1" x14ac:dyDescent="0.2">
      <c r="A62" s="1"/>
      <c r="B62" s="288">
        <v>50</v>
      </c>
      <c r="C62" s="779"/>
      <c r="D62" s="778">
        <f>IF(AND(D40=1,$C$44=TRUE),SUM($D$44,ТС1,УПР_050ФГ1,КОФ_50),IF(AND(D40=1,$C$44=FALSE),SUM($D$44,ТС1,УПР_050ФГ1),IF(AND(D40=2,$C$44=TRUE),SUM($D$44,ТС1,УПР_050ФГ1*2,КОФ_50*2),IF(AND(D40=2,$C$44=FALSE),SUM($D$44,ТС1,УПР_050ФГ1*2),""))))</f>
        <v>105820</v>
      </c>
      <c r="E62" s="799"/>
      <c r="F62" s="785">
        <f>IF(AND(F40=1,$E$44=TRUE),SUM($F$44,ТС1,УПР_050ФГ2,КОФ_50),IF(AND(F40=1,$E$44=FALSE),SUM($F$44,ТС1,УПР_050ФГ2),IF(AND(F40=2,$E$44=TRUE),SUM($F$44,ТС1,УПР_050ФГ2*2,КОФ_50*2),IF(AND(F40=2,$E$44=FALSE),SUM($F$44,ТС1,УПР_050ФГ2*2),""))))</f>
        <v>170220</v>
      </c>
      <c r="G62" s="781"/>
      <c r="H62" s="688">
        <f>IF($G$44=TRUE,SUM($H$44,ТС1*2,УПР_050ФГ1*4,КОФ_50*4),SUM($H$44,ТС1*2,УПР_050ФГ1*4))</f>
        <v>176640</v>
      </c>
      <c r="I62" s="794" t="s">
        <v>1131</v>
      </c>
      <c r="J62" s="764" t="s">
        <v>1125</v>
      </c>
      <c r="K62" s="760">
        <f>КОФ_50</f>
        <v>3500</v>
      </c>
      <c r="L62" s="761">
        <f>ящ_50</f>
        <v>1400</v>
      </c>
      <c r="M62" s="10"/>
      <c r="N62" s="10"/>
      <c r="O62" s="10"/>
      <c r="P62" s="10"/>
      <c r="Q62" s="10"/>
    </row>
    <row r="63" spans="1:17" ht="15" customHeight="1" x14ac:dyDescent="0.2">
      <c r="A63" s="1"/>
      <c r="B63" s="288">
        <v>65</v>
      </c>
      <c r="C63" s="780"/>
      <c r="D63" s="778">
        <f>IF(AND(D40=1,$C$44=TRUE),SUM($D$44,ТС1,УПР_065ФГ1,КОФ_65),IF(AND(D40=1,$C$44=FALSE),SUM($D$44,ТС1,УПР_065ФГ1),IF(AND(D40=2,$C$44=TRUE),SUM($D$44,ТС1,УПР_065ФГ1*2,КОФ_65*2),IF(AND(D40=2,$C$44=FALSE),SUM($D$44,ТС1,УПР_065ФГ1*2),""))))</f>
        <v>119820</v>
      </c>
      <c r="E63" s="799"/>
      <c r="F63" s="785">
        <f>IF(AND(F40=1,$E$44=TRUE),SUM($F$44,ТС1,УПР_065ФГ2,КОФ_65),IF(AND(F40=1,$E$44=FALSE),SUM($F$44,ТС1,УПР_065ФГ2),IF(AND(F40=2,$E$44=TRUE),SUM($F$44,ТС1,УПР_065ФГ2*2,КОФ_65*2),IF(AND(F40=2,$E$44=FALSE),SUM($F$44,ТС1,УПР_065ФГ2*2),""))))</f>
        <v>195420</v>
      </c>
      <c r="G63" s="779"/>
      <c r="H63" s="785">
        <f>IF($G$44=TRUE,SUM($H$44,ТС1*2,УПР_065ФГ1*4,КОФ_65*4),SUM($H$44,ТС1*2,УПР_065ФГ1*4))</f>
        <v>204640</v>
      </c>
      <c r="I63" s="769" t="s">
        <v>1131</v>
      </c>
      <c r="J63" s="763" t="s">
        <v>1125</v>
      </c>
      <c r="K63" s="760">
        <f>КОФ_65</f>
        <v>3920</v>
      </c>
      <c r="L63" s="760">
        <f>ящ_65</f>
        <v>1400</v>
      </c>
      <c r="M63" s="10"/>
      <c r="N63" s="10"/>
      <c r="O63" s="10"/>
      <c r="P63" s="10"/>
      <c r="Q63" s="10"/>
    </row>
    <row r="64" spans="1:17" ht="15" customHeight="1" x14ac:dyDescent="0.2">
      <c r="A64" s="1"/>
      <c r="B64" s="288">
        <v>80</v>
      </c>
      <c r="C64" s="781"/>
      <c r="D64" s="688">
        <f>IF(AND(D40=1,$C$44=TRUE),SUM($D$44,ТС1,УПР_080ФГ1,КОФ_80),IF(AND(D40=1,$C$44=FALSE),SUM($D$44,ТС1,УПР_080ФГ1),IF(AND(D40=2,$C$44=TRUE),SUM($D$44,ТС1,УПР_080ФГ1*2,КОФ_80*2),IF(AND(D40=2,$C$44=FALSE),SUM($D$44,ТС1,УПР_080ФГ1*2),""))))</f>
        <v>119820</v>
      </c>
      <c r="E64" s="800"/>
      <c r="F64" s="785">
        <f>IF(AND(F40=1,$E$44=TRUE),SUM($F$44,ТС1,УПР_080ФГ2,КОФ_80),IF(AND(F40=1,$E$44=FALSE),SUM($F$44,ТС1,УПР_080ФГ2),IF(AND(F40=2,$E$44=TRUE),SUM($F$44,ТС1,УПР_080ФГ2*2,КОФ_80*2),IF(AND(F40=2,$E$44=FALSE),SUM($F$44,ТС1,УПР_080ФГ2*2),""))))</f>
        <v>198220</v>
      </c>
      <c r="G64" s="781"/>
      <c r="H64" s="785">
        <f>IF($G$44=TRUE,SUM($H$44,ТС1*2,УПР_080ФГ1*4,КОФ_80*4),SUM($H$44,ТС1*2,УПР_080ФГ1*4))</f>
        <v>204640</v>
      </c>
      <c r="I64" s="769" t="s">
        <v>1131</v>
      </c>
      <c r="J64" s="763" t="s">
        <v>1125</v>
      </c>
      <c r="K64" s="761">
        <f>КОФ_80</f>
        <v>3920</v>
      </c>
      <c r="L64" s="761">
        <f>ящ_80</f>
        <v>1400</v>
      </c>
      <c r="M64" s="10"/>
      <c r="N64" s="10"/>
      <c r="O64" s="10"/>
      <c r="P64" s="10"/>
      <c r="Q64" s="10"/>
    </row>
    <row r="65" spans="1:17" ht="15" customHeight="1" x14ac:dyDescent="0.2">
      <c r="A65" s="1"/>
      <c r="B65" s="289">
        <v>100</v>
      </c>
      <c r="C65" s="779"/>
      <c r="D65" s="778"/>
      <c r="E65" s="781"/>
      <c r="F65" s="785">
        <f>IF(AND(F40=1,$E$44=TRUE),SUM($F$44,ТС1,УПР_100ФГ2,КОФ_100),IF(AND(F40=1,$E$44=FALSE),SUM($F$44,ТС1,УПР_100ФГ2),IF(AND(F40=2,$E$44=TRUE),SUM($F$44,ТС1,УПР_100ФГ2*2,КОФ_100*2),IF(AND(F40=2,$E$44=FALSE),SUM($F$44,ТС1,УПР_100ФГ2*2),""))))</f>
        <v>203820</v>
      </c>
      <c r="G65" s="779"/>
      <c r="H65" s="785"/>
      <c r="I65" s="770" t="s">
        <v>1131</v>
      </c>
      <c r="J65" s="763" t="s">
        <v>1125</v>
      </c>
      <c r="K65" s="758">
        <f>КОФ_100</f>
        <v>4620</v>
      </c>
      <c r="L65" s="760">
        <f>ящ_100</f>
        <v>2100</v>
      </c>
      <c r="M65" s="10"/>
      <c r="N65" s="10"/>
      <c r="O65" s="10"/>
      <c r="P65" s="10"/>
      <c r="Q65" s="10"/>
    </row>
    <row r="66" spans="1:17" ht="15" customHeight="1" x14ac:dyDescent="0.2">
      <c r="A66" s="1"/>
      <c r="B66" s="288">
        <v>100</v>
      </c>
      <c r="C66" s="780"/>
      <c r="D66" s="778">
        <f>IF(AND(D40=1,$C$44=TRUE),SUM($D$44,ТС1,УПР_100ФГ1,КОФ_100),IF(AND(D40=1,$C$44=FALSE),SUM($D$44,ТС1,УПР_100ФГ1),IF(AND(D40=2,$C$44=TRUE),SUM($D$44,ТС1,УПР_100ФГ1*2,КОФ_100*2),IF(AND(D40=2,$C$44=FALSE),SUM($D$44,ТС1,УПР_100ФГ1*2),""))))</f>
        <v>131020</v>
      </c>
      <c r="E66" s="779"/>
      <c r="F66" s="1494"/>
      <c r="G66" s="780"/>
      <c r="H66" s="785">
        <f>IF($G$44=TRUE,SUM($H$44,ТС1*2,УПР_100ФГ1*4,КОФ_100*4),SUM($H$44,ТС1*2,УПР_100ФГ1*4))</f>
        <v>227040</v>
      </c>
      <c r="I66" s="794" t="s">
        <v>1132</v>
      </c>
      <c r="J66" s="763" t="s">
        <v>1125</v>
      </c>
      <c r="K66" s="758">
        <f>КОФ_100</f>
        <v>4620</v>
      </c>
      <c r="L66" s="760">
        <f>ящ_100</f>
        <v>2100</v>
      </c>
      <c r="M66" s="10"/>
      <c r="N66" s="10"/>
      <c r="O66" s="10"/>
      <c r="P66" s="10"/>
      <c r="Q66" s="10"/>
    </row>
    <row r="67" spans="1:17" ht="15" customHeight="1" x14ac:dyDescent="0.2">
      <c r="A67" s="1"/>
      <c r="B67" s="288">
        <v>125</v>
      </c>
      <c r="C67" s="780"/>
      <c r="D67" s="778"/>
      <c r="E67" s="781"/>
      <c r="F67" s="1493">
        <f>IF(AND(F40=1,$E$44=TRUE),SUM($F$44,ТС1,УПР_150ФГ2,КОФ_150),IF(AND(F40=1,$E$44=FALSE),SUM($F$44,ТС1,УПР_150ФГ2),IF(AND(F40=2,$E$44=TRUE),SUM($F$44,ТС1,УПР_150ФГ2*2,КОФ_150*2),IF(AND(F40=2,$E$44=FALSE),SUM($F$44,ТС1,УПР_150ФГ2*2),""))))</f>
        <v>254220</v>
      </c>
      <c r="G67" s="780"/>
      <c r="H67" s="778"/>
      <c r="I67" s="769" t="s">
        <v>1131</v>
      </c>
      <c r="J67" s="763" t="s">
        <v>1125</v>
      </c>
      <c r="K67" s="758">
        <f>КОФ_150</f>
        <v>7000</v>
      </c>
      <c r="L67" s="760">
        <f>ящ_150</f>
        <v>2100</v>
      </c>
      <c r="M67" s="10"/>
      <c r="N67" s="10"/>
      <c r="O67" s="10"/>
      <c r="P67" s="10"/>
      <c r="Q67" s="10"/>
    </row>
    <row r="68" spans="1:17" ht="15" customHeight="1" x14ac:dyDescent="0.2">
      <c r="A68" s="1"/>
      <c r="B68" s="288">
        <v>125</v>
      </c>
      <c r="C68" s="780"/>
      <c r="D68" s="778">
        <f>IF(AND(D40=1,$C$44=TRUE),SUM($D$44,ТС1,УПР_150ФГ1,КОФ_150),IF(AND(D40=1,$C$44=FALSE),SUM($D$44,ТС1,УПР_150ФГ1),IF(AND(D40=2,$C$44=TRUE),SUM($D$44,ТС1,УПР_150ФГ1*2,КОФ_150*2),IF(AND(D40=2,$C$44=FALSE),SUM($D$44,ТС1,УПР_150ФГ1*2),""))))</f>
        <v>161820</v>
      </c>
      <c r="E68" s="781"/>
      <c r="F68" s="1493"/>
      <c r="G68" s="780"/>
      <c r="H68" s="778">
        <f>IF($G$44=TRUE,SUM($H$44,ТС1*2,УПР_150ФГ1*4,КОФ_150*4),SUM($H$44,ТС1*2,УПР_150ФГ1*4))</f>
        <v>288640</v>
      </c>
      <c r="I68" s="769" t="s">
        <v>1132</v>
      </c>
      <c r="J68" s="763" t="s">
        <v>1125</v>
      </c>
      <c r="K68" s="758">
        <f>КОФ_150</f>
        <v>7000</v>
      </c>
      <c r="L68" s="760">
        <f>ящ_150</f>
        <v>2100</v>
      </c>
      <c r="M68" s="10"/>
      <c r="N68" s="10"/>
      <c r="O68" s="10"/>
      <c r="P68" s="10"/>
      <c r="Q68" s="10"/>
    </row>
    <row r="69" spans="1:17" ht="15" customHeight="1" x14ac:dyDescent="0.2">
      <c r="A69" s="1"/>
      <c r="B69" s="288">
        <v>150</v>
      </c>
      <c r="C69" s="780"/>
      <c r="D69" s="778">
        <f>IF(AND(D40=1,$C$44=TRUE),SUM($D$44,ТС1,УПР_150ФГ1,КОФ_150),IF(AND(D40=1,$C$44=FALSE),SUM($D$44,ТС1,УПР_150ФГ1),IF(AND(D40=2,$C$44=TRUE),SUM($D$44,ТС1,УПР_150ФГ1*2,КОФ_150*2),IF(AND(D40=2,$C$44=FALSE),SUM($D$44,ТС1,УПР_150ФГ1*2),""))))</f>
        <v>161820</v>
      </c>
      <c r="E69" s="781"/>
      <c r="F69" s="688">
        <f>IF(AND(F40=1,$E$44=TRUE),SUM($F$44,ТС1,УПР_150ФГ2,КОФ_150),IF(AND(F40=1,$E$44=FALSE),SUM($F$44,ТС1,УПР_150ФГ2),IF(AND(F40=2,$E$44=TRUE),SUM($F$44,ТС1,УПР_150ФГ2*2,КОФ_150*2),IF(AND(F40=2,$E$44=FALSE),SUM($F$44,ТС1,УПР_150ФГ2*2),""))))</f>
        <v>254220</v>
      </c>
      <c r="G69" s="780"/>
      <c r="H69" s="778">
        <f>IF($G$44=TRUE,SUM($H$44,ТС1*2,УПР_150ФГ1*4,КОФ_150*4),SUM($H$44,ТС1*2,УПР_150ФГ1*4))</f>
        <v>288640</v>
      </c>
      <c r="I69" s="769" t="s">
        <v>1132</v>
      </c>
      <c r="J69" s="763" t="s">
        <v>1125</v>
      </c>
      <c r="K69" s="758">
        <f>КОФ_150</f>
        <v>7000</v>
      </c>
      <c r="L69" s="760">
        <f>ящ_150</f>
        <v>2100</v>
      </c>
      <c r="M69" s="67"/>
      <c r="N69" s="67"/>
      <c r="O69" s="10"/>
      <c r="P69" s="10"/>
      <c r="Q69" s="10"/>
    </row>
    <row r="70" spans="1:17" ht="15" customHeight="1" x14ac:dyDescent="0.2">
      <c r="A70" s="1"/>
      <c r="B70" s="288">
        <v>200</v>
      </c>
      <c r="C70" s="781"/>
      <c r="D70" s="778">
        <f>IF(AND(D40=1,$C$44=TRUE),SUM($D$44,ТС1,УПР_200ФГ1,КОФ_200),IF(AND(D40=1,$C$44=FALSE),SUM($D$44,ТС1,УПР_200ФГ1),IF(AND(D40=2,$C$44=TRUE),SUM($D$44,ТС1,УПР_200ФГ1*2,КОФ_200*2),IF(AND(D40=2,$C$44=FALSE),SUM($D$44,ТС1,УПР_200ФГ1*2),""))))</f>
        <v>203820</v>
      </c>
      <c r="E70" s="781"/>
      <c r="F70" s="778">
        <f>IF(AND(F40=1,$E$44=TRUE),SUM($F$44,ТС1,УПР_200ФГ2,КОФ_200),IF(AND(F40=1,$E$44=FALSE),SUM($F$44,ТС1,УПР_200ФГ2),IF(AND(F40=2,$E$44=TRUE),SUM($F$44,ТС1,УПР_200ФГ2*2,КОФ_200*2),IF(AND(F40=2,$E$44=FALSE),SUM($F$44,ТС1,УПР_200ФГ2*2),""))))</f>
        <v>324220</v>
      </c>
      <c r="G70" s="780"/>
      <c r="H70" s="688">
        <f>IF($G$44=TRUE,SUM($H$44,ТС1*2,УПР_200ФГ1*4,КОФ_200*4),SUM($H$44,ТС1*2,УПР_200ФГ1*4))</f>
        <v>372640</v>
      </c>
      <c r="I70" s="769" t="s">
        <v>1132</v>
      </c>
      <c r="J70" s="764" t="s">
        <v>1125</v>
      </c>
      <c r="K70" s="758">
        <f>КОФ_200</f>
        <v>12320</v>
      </c>
      <c r="L70" s="760">
        <f>ящ_200</f>
        <v>2100</v>
      </c>
      <c r="M70" s="67"/>
      <c r="N70" s="67"/>
      <c r="O70" s="10"/>
      <c r="P70" s="10"/>
      <c r="Q70" s="10"/>
    </row>
    <row r="71" spans="1:17" ht="15" customHeight="1" x14ac:dyDescent="0.2">
      <c r="A71" s="1"/>
      <c r="B71" s="288">
        <v>250</v>
      </c>
      <c r="C71" s="781"/>
      <c r="D71" s="778">
        <f>IF(AND(D40=1,$C$44=TRUE),SUM($D$44,ТС2,УПР_250ФГ1,КОФ_250),IF(AND(D40=1,$C$44=FALSE),SUM($D$44,ТС2,УПР_250ФГ1),IF(AND(D40=2,$C$44=TRUE),SUM($D$44,ТС2,УПР_250ФГ1*2,КОФ_250*2),IF(AND(D40=2,$C$44=FALSE),SUM($D$44,ТС2,УПР_250ФГ1*2),""))))</f>
        <v>414320</v>
      </c>
      <c r="E71" s="781"/>
      <c r="F71" s="1646">
        <f>IF(AND(F40=1,$E$44=TRUE),SUM($F$44,ТС1,УПР_250ФГ2,КОФ_250),IF(AND(F40=1,$E$44=FALSE),SUM($F$44,ТС1,УПР_250ФГ2),IF(AND(F40=2,$E$44=TRUE),SUM($F$44,ТС1,УПР_250ФГ2*2,КОФ_250*2),IF(AND(F40=2,$E$44=FALSE),SUM($F$44,ТС1,УПР_250ФГ2*2),""))))</f>
        <v>611220</v>
      </c>
      <c r="G71" s="781"/>
      <c r="H71" s="778">
        <f>IF($G$44=TRUE,SUM($H$44,ТС2*2,УПР_250ФГ1*4,КОФ_250*4),SUM($H$44,ТС2*2,УПР_250ФГ1*4))</f>
        <v>793640</v>
      </c>
      <c r="I71" s="770" t="s">
        <v>1132</v>
      </c>
      <c r="J71" s="763" t="s">
        <v>1125</v>
      </c>
      <c r="K71" s="758">
        <f>КОФ_250</f>
        <v>17500</v>
      </c>
      <c r="L71" s="760">
        <f>ящ_250</f>
        <v>2800</v>
      </c>
      <c r="M71" s="67"/>
      <c r="N71" s="67"/>
      <c r="O71" s="10"/>
      <c r="P71" s="10"/>
      <c r="Q71" s="10"/>
    </row>
    <row r="72" spans="1:17" ht="15" customHeight="1" x14ac:dyDescent="0.2">
      <c r="A72" s="1"/>
      <c r="B72" s="288">
        <v>300</v>
      </c>
      <c r="C72" s="782"/>
      <c r="D72" s="1645">
        <f>IF(AND(D40=1,$C$44=TRUE),SUM($D$44,ТС2,УПР_300ФГ1,КОФ_300),IF(AND(D40=1,$C$44=FALSE),SUM($D$44,ТС2,УПР_300ФГ1),IF(AND(D40=2,$C$44=TRUE),SUM($D$44,ТС2,УПР_300ФГ1*2,КОФ_300*2),IF(AND(D40=2,$C$44=FALSE),SUM($D$44,ТС2,УПР_300ФГ1*2),""))))</f>
        <v>484320</v>
      </c>
      <c r="E72" s="801"/>
      <c r="F72" s="1645">
        <f>IF(AND(F40=1,$E$44=TRUE),SUM($F$44,ТС1,УПР_300ФГ2,КОФ_300),IF(AND(F40=1,$E$44=FALSE),SUM($F$44,ТС1,УПР_300ФГ2),IF(AND(F40=2,$E$44=TRUE),SUM($F$44,ТС1,УПР_300ФГ2*2,КОФ_300*2),IF(AND(F40=2,$E$44=FALSE),SUM($F$44,ТС1,УПР_300ФГ2*2),""))))</f>
        <v>751220</v>
      </c>
      <c r="G72" s="780"/>
      <c r="H72" s="689">
        <f>IF($G$44=TRUE,SUM($H$44,ТС2*2,УПР_300ФГ1*4,КОФ_300*4),SUM($H$44,ТС2*2,УПР_300ФГ1*4))</f>
        <v>933640</v>
      </c>
      <c r="I72" s="771" t="s">
        <v>1132</v>
      </c>
      <c r="J72" s="767" t="s">
        <v>1125</v>
      </c>
      <c r="K72" s="758">
        <f>КОФ_300</f>
        <v>21000</v>
      </c>
      <c r="L72" s="760">
        <f>ящ_300</f>
        <v>2800</v>
      </c>
      <c r="M72" s="67"/>
      <c r="N72" s="67"/>
      <c r="O72" s="10"/>
      <c r="P72" s="10"/>
      <c r="Q72" s="10"/>
    </row>
    <row r="73" spans="1:17" ht="15" customHeight="1" x14ac:dyDescent="0.2">
      <c r="A73" s="1"/>
      <c r="B73" s="288"/>
      <c r="C73" s="306" t="s">
        <v>1321</v>
      </c>
      <c r="D73" s="563" t="s">
        <v>986</v>
      </c>
      <c r="E73" s="309" t="s">
        <v>1321</v>
      </c>
      <c r="F73" s="564" t="s">
        <v>986</v>
      </c>
      <c r="G73" s="565" t="s">
        <v>1321</v>
      </c>
      <c r="H73" s="308" t="s">
        <v>986</v>
      </c>
      <c r="I73" s="301" t="s">
        <v>44</v>
      </c>
      <c r="J73" s="310" t="s">
        <v>837</v>
      </c>
      <c r="K73" s="773"/>
      <c r="L73" s="724"/>
      <c r="M73" s="67"/>
      <c r="N73" s="67"/>
      <c r="O73" s="10"/>
      <c r="P73" s="10"/>
      <c r="Q73" s="10"/>
    </row>
    <row r="74" spans="1:17" ht="15" customHeight="1" x14ac:dyDescent="0.2">
      <c r="A74" s="1"/>
      <c r="B74" s="288">
        <v>125</v>
      </c>
      <c r="C74" s="787"/>
      <c r="D74" s="1547"/>
      <c r="E74" s="1523">
        <f>IF(AND(F40=1,$E$44=TRUE),"бесфланцевый!",IF(AND(F40=1,$E$44=FALSE),SUM($F$44,ТС1,УПР_150БФСТ2),IF(AND(F40=2,$E$44=TRUE),"бесфланцевый!",IF(AND(F40=2,$E$44=FALSE),SUM($F$44,ТС1,УПР_150БФСТ2*2),""))))</f>
        <v>175820</v>
      </c>
      <c r="F74" s="1547">
        <f>IF(AND(F40=1,$E$44=TRUE),SUM($F$44,ТС1,УПР_150ФСТ2,КОФ_150),IF(AND(F40=1,$E$44=FALSE),SUM($F$44,ТС1,УПР_150ФСТ2),IF(AND(F40=2,$E$44=TRUE),SUM($F$44,ТС1,УПР_150ФСТ2*2,КОФ_150*2),IF(AND(F40=2,$E$44=FALSE),SUM($F$44,ТС1,УПР_150ФСТ2*2),""))))</f>
        <v>217260</v>
      </c>
      <c r="G74" s="787"/>
      <c r="H74" s="785"/>
      <c r="I74" s="769" t="s">
        <v>1131</v>
      </c>
      <c r="J74" s="763" t="s">
        <v>454</v>
      </c>
      <c r="K74" s="758">
        <f>КОФ_150</f>
        <v>7000</v>
      </c>
      <c r="L74" s="760">
        <f>ящ_200</f>
        <v>2100</v>
      </c>
      <c r="M74" s="67"/>
      <c r="N74" s="67"/>
      <c r="O74" s="10"/>
      <c r="P74" s="10"/>
      <c r="Q74" s="10"/>
    </row>
    <row r="75" spans="1:17" ht="15" customHeight="1" x14ac:dyDescent="0.2">
      <c r="A75" s="1"/>
      <c r="B75" s="288">
        <v>125</v>
      </c>
      <c r="C75" s="787">
        <f>IF(AND(D40=1,$C$44=TRUE),"бесфланцевый!",IF(AND(D40=1,$C$44=FALSE),SUM($D$44,ТС1,УПР_150БФСТ1),IF(AND(D40=2,$C$44=TRUE),"бесфланцевый!",IF(AND(D40=2,$C$44=FALSE),SUM($D$44,ТС1,УПР_150БФСТ1*2),""))))</f>
        <v>117020</v>
      </c>
      <c r="D75" s="1494">
        <f>IF(AND(D40=1,$C$44=TRUE),SUM($D$44,ТС1,УПР_150ФСТ1,КОФ_150),IF(AND(D40=1,$C$44=FALSE),SUM($D$44,ТС1,УПР_150ФСТ1),IF(AND(D40=2,$C$44=TRUE),SUM($D$44,ТС1,УПР_150ФСТ1*2,КОФ_150*2),IF(AND(D40=2,$C$44=FALSE),SUM($D$44,ТС1,УПР_150ФСТ1*2),""))))</f>
        <v>140820</v>
      </c>
      <c r="E75" s="779"/>
      <c r="F75" s="790"/>
      <c r="G75" s="791">
        <f>IF($G$44=TRUE,"бесфланцевый!",SUM($H$44,ТС1*2,УПР_150БФСТ1*4))</f>
        <v>199040</v>
      </c>
      <c r="H75" s="1494">
        <f>IF($G$44=TRUE,SUM($H$44,ТС1*2,УПР_150ФСТ1*4,КОФ_150*4),SUM($H$44,ТС1*2,УПР_150ФСТ1*4))</f>
        <v>246640</v>
      </c>
      <c r="I75" s="769" t="s">
        <v>1132</v>
      </c>
      <c r="J75" s="763" t="s">
        <v>454</v>
      </c>
      <c r="K75" s="758">
        <f>КОФ_150</f>
        <v>7000</v>
      </c>
      <c r="L75" s="760">
        <f>ящ_200</f>
        <v>2100</v>
      </c>
      <c r="M75" s="67"/>
      <c r="N75" s="67"/>
      <c r="O75" s="10"/>
      <c r="P75" s="10"/>
      <c r="Q75" s="10"/>
    </row>
    <row r="76" spans="1:17" ht="15" customHeight="1" x14ac:dyDescent="0.2">
      <c r="A76" s="1"/>
      <c r="B76" s="288">
        <v>150</v>
      </c>
      <c r="C76" s="791">
        <f>IF(AND(D40=1,$C$44=TRUE),"бесфланцевый!",IF(AND(D40=1,$C$44=FALSE),SUM($D$44,ТС1,УПР_150БФСТ1),IF(AND(D40=2,$C$44=TRUE),"бесфланцевый!",IF(AND(D40=2,$C$44=FALSE),SUM($D$44,ТС1,УПР_150БФСТ1*2),""))))</f>
        <v>117020</v>
      </c>
      <c r="D76" s="1494">
        <f>IF(AND(D40=1,$C$44=TRUE),SUM($D$44,ТС1,УПР_150ФСТ1,КОФ_150),IF(AND(D40=1,$C$44=FALSE),SUM($D$44,ТС1,УПР_150ФСТ1),IF(AND(D40=2,$C$44=TRUE),SUM($D$44,ТС1,УПР_150ФСТ1*2,КОФ_150*2),IF(AND(D40=2,$C$44=FALSE),SUM($D$44,ТС1,УПР_150ФСТ1*2),""))))</f>
        <v>140820</v>
      </c>
      <c r="E76" s="791">
        <f>IF(AND(F40=1,$E$44=TRUE),"бесфланцевый!",IF(AND(F40=1,$E$44=FALSE),SUM($F$44,ТС1,УПР_150БФСТ2),IF(AND(F40=2,$E$44=TRUE),"бесфланцевый!",IF(AND(F40=2,$E$44=FALSE),SUM($F$44,ТС1,УПР_150БФСТ2*2),""))))</f>
        <v>175820</v>
      </c>
      <c r="F76" s="778">
        <f>IF(AND(F40=1,$E$44=TRUE),SUM($F$44,ТС1,УПР_150ФСТ2,КОФ_150),IF(AND(F40=1,$E$44=FALSE),SUM($F$44,ТС1,УПР_150ФСТ2),IF(AND(F40=2,$E$44=TRUE),SUM($F$44,ТС1,УПР_150ФСТ2*2,КОФ_150*2),IF(AND(F40=2,$E$44=FALSE),SUM($F$44,ТС1,УПР_150ФСТ2*2),""))))</f>
        <v>217260</v>
      </c>
      <c r="G76" s="791">
        <f>IF($G$44=TRUE,"бесфланцевый!",SUM($H$44,ТС1*2,УПР_150БФСТ1*4))</f>
        <v>199040</v>
      </c>
      <c r="H76" s="778">
        <f>IF($G$44=TRUE,SUM($H$44,ТС1*2,УПР_150ФСТ1*4,КОФ_150*4),SUM($H$44,ТС1*2,УПР_150ФСТ1*4))</f>
        <v>246640</v>
      </c>
      <c r="I76" s="769" t="s">
        <v>1132</v>
      </c>
      <c r="J76" s="763" t="s">
        <v>454</v>
      </c>
      <c r="K76" s="758">
        <f>КОФ_150</f>
        <v>7000</v>
      </c>
      <c r="L76" s="760">
        <f>ящ_200</f>
        <v>2100</v>
      </c>
      <c r="M76" s="67"/>
      <c r="N76" s="67"/>
      <c r="O76" s="10"/>
      <c r="P76" s="10"/>
      <c r="Q76" s="10"/>
    </row>
    <row r="77" spans="1:17" ht="15" customHeight="1" x14ac:dyDescent="0.2">
      <c r="A77" s="1"/>
      <c r="B77" s="288">
        <v>200</v>
      </c>
      <c r="C77" s="787">
        <f>IF(AND(D40=1,$C$44=TRUE),"бесфланцевый!",IF(AND(D40=1,$C$44=FALSE),SUM($D$44,ТС1,УПР_200БФСТ1),IF(AND(D40=2,$C$44=TRUE),"бесфланцевый!",IF(AND(D40=2,$C$44=FALSE),SUM($D$44,ТС1,УПР_200БФСТ1*2),""))))</f>
        <v>126820</v>
      </c>
      <c r="D77" s="1494">
        <f>IF(AND(D40=1,$C$44=TRUE),SUM($D$44,ТС1,УПР_200ФСТ1,КОФ_200),IF(AND(D40=1,$C$44=FALSE),SUM($D$44,ТС1,УПР_200ФСТ1),IF(AND(D40=2,$C$44=TRUE),SUM($D$44,ТС1,УПР_200ФСТ1*2,КОФ_200*2),IF(AND(D40=2,$C$44=FALSE),SUM($D$44,ТС1,УПР_200ФСТ1*2),""))))</f>
        <v>147820</v>
      </c>
      <c r="E77" s="791">
        <f>IF(AND(F40=1,$E$44=TRUE),"бесфланцевый!",IF(AND(F40=1,$E$44=FALSE),SUM($F$44,ТС1,УПР_200БФСТ2),IF(AND(F40=2,$E$44=TRUE),"бесфланцевый!",IF(AND(F40=2,$E$44=FALSE),SUM($F$44,ТС1,УПР_200БФСТ2*2),""))))</f>
        <v>193460</v>
      </c>
      <c r="F77" s="778">
        <f>IF(AND(F40=1,$E$44=TRUE),SUM($F$44,ТС1,УПР_200ФСТ2,КОФ_200),IF(AND(F40=1,$E$44=FALSE),SUM($F$44,ТС1,УПР_200ФСТ2),IF(AND(F40=2,$E$44=TRUE),SUM($F$44,ТС1,УПР_200ФСТ2*2,КОФ_200*2),IF(AND(F40=2,$E$44=FALSE),SUM($F$44,ТС1,УПР_200ФСТ2*2),""))))</f>
        <v>229020</v>
      </c>
      <c r="G77" s="779">
        <f>IF($G$44=TRUE,"бесфланцевый!",SUM($H$44,ТС1*2,УПР_200БФСТ1*4))</f>
        <v>218640</v>
      </c>
      <c r="H77" s="790">
        <f>IF($G$44=TRUE,SUM($H$44,ТС1*2,УПР_200ФСТ1*4,КОФ_200*4),SUM($H$44,ТС1*2,УПР_200ФСТ1*4))</f>
        <v>260640</v>
      </c>
      <c r="I77" s="769" t="s">
        <v>1132</v>
      </c>
      <c r="J77" s="763" t="s">
        <v>454</v>
      </c>
      <c r="K77" s="758">
        <f>КОФ_200</f>
        <v>12320</v>
      </c>
      <c r="L77" s="760">
        <f>ящ_200</f>
        <v>2100</v>
      </c>
      <c r="M77" s="67"/>
      <c r="N77" s="67"/>
      <c r="O77" s="10"/>
      <c r="P77" s="10"/>
      <c r="Q77" s="10"/>
    </row>
    <row r="78" spans="1:17" ht="15" customHeight="1" x14ac:dyDescent="0.2">
      <c r="A78" s="1"/>
      <c r="B78" s="289">
        <v>250</v>
      </c>
      <c r="C78" s="791">
        <f>IF(AND(D40=1,$C$44=TRUE),"бесфланцевый!",IF(AND(D40=1,$C$44=FALSE),SUM($D$44,ТС2,УПР_250БФСТ1),IF(AND(D40=2,$C$44=TRUE),"бесфланцевый!",IF(AND(D40=2,$C$44=FALSE),SUM($D$44,ТС2,УПР_250БФСТ1*2),""))))</f>
        <v>186960</v>
      </c>
      <c r="D78" s="778">
        <f>IF(AND(D40=1,$C$44=TRUE),SUM($D$44,ТС2,УПР_250ФСТ1,КОФ_250),IF(AND(D40=1,$C$44=FALSE),SUM($D$44,ТС2,УПР_250ФСТ1),IF(AND(D40=2,$C$44=TRUE),SUM($D$44,ТС2,УПР_250ФСТ1*2,КОФ_250*2),IF(AND(D40=2,$C$44=FALSE),SUM($D$44,ТС2,УПР_250ФСТ1*2),""))))</f>
        <v>204320</v>
      </c>
      <c r="E78" s="791">
        <f>IF(AND(F40=1,$E$44=TRUE),"бесфланцевый!",IF(AND(F40=1,$E$44=FALSE),SUM($F$44,ТС2,УПР_250БФСТ2),IF(AND(F40=2,$E$44=TRUE),"бесфланцевый!",IF(AND(F40=2,$E$44=FALSE),SUM($F$44,ТС2,УПР_250БФСТ2*2),""))))</f>
        <v>268720</v>
      </c>
      <c r="F78" s="778">
        <f>IF(AND(F40=1,$E$44=TRUE),SUM($F$44,ТС2,УПР_250ФСТ2,КОФ_250),IF(AND(F40=1,$E$44=FALSE),SUM($F$44,ТС2,УПР_250ФСТ2),IF(AND(F40=2,$E$44=TRUE),SUM($F$44,ТС2,УПР_250ФСТ2*2,КОФ_250*2),IF(AND(F40=2,$E$44=FALSE),SUM($F$44,ТС2,УПР_250ФСТ2*2),""))))</f>
        <v>324720</v>
      </c>
      <c r="G78" s="791">
        <f>IF($G$44=TRUE,"бесфланцевый!",SUM($H$44,ТС2*2,УПР_250БФСТ1*4))</f>
        <v>338920</v>
      </c>
      <c r="H78" s="778">
        <f>IF($G$44=TRUE,SUM($H$44,ТС2*2,УПР_250ФСТ1*4,КОФ_250*4),SUM($H$44,ТС2*2,УПР_250ФСТ1*4))</f>
        <v>373640</v>
      </c>
      <c r="I78" s="769" t="s">
        <v>1132</v>
      </c>
      <c r="J78" s="763" t="s">
        <v>454</v>
      </c>
      <c r="K78" s="758">
        <f>КОФ_250</f>
        <v>17500</v>
      </c>
      <c r="L78" s="760">
        <f>ящ_250</f>
        <v>2800</v>
      </c>
      <c r="M78" s="67"/>
      <c r="N78" s="67"/>
      <c r="O78" s="10"/>
      <c r="P78" s="10"/>
      <c r="Q78" s="10"/>
    </row>
    <row r="79" spans="1:17" ht="15" customHeight="1" x14ac:dyDescent="0.2">
      <c r="A79" s="1"/>
      <c r="B79" s="290">
        <v>300</v>
      </c>
      <c r="C79" s="779">
        <f>IF(AND(D40=1,$C$44=TRUE),"бесфланцевый!",IF(AND(D40=1,$C$44=FALSE),SUM($D$44,ТС2,УПР_300БФСТ1),IF(AND(D40=2,$C$44=TRUE),"бесфланцевый!",IF(AND(D40=2,$C$44=FALSE),SUM($D$44,ТС2,УПР_300БФСТ1*2),""))))</f>
        <v>197320</v>
      </c>
      <c r="D79" s="778">
        <f>IF(AND(D40=1,$C$44=TRUE),SUM($D$44,ТС2,УПР_300ФСТ1,КОФ_300),IF(AND(D40=1,$C$44=FALSE),SUM($D$44,ТС2,УПР_300ФСТ1),IF(AND(D40=2,$C$44=TRUE),SUM($D$44,ТС2,УПР_300ФСТ1*2,КОФ_300*2),IF(AND(D40=2,$C$44=FALSE),SUM($D$44,ТС2,УПР_300ФСТ1*2),""))))</f>
        <v>221960</v>
      </c>
      <c r="E79" s="779">
        <f>IF(AND(F40=1,$E$44=TRUE),"бесфланцевый!",IF(AND(F40=1,$E$44=FALSE),SUM($F$44,ТС2,УПР_300БФСТ2),IF(AND(F40=2,$E$44=TRUE),"бесфланцевый!",IF(AND(F40=2,$E$44=FALSE),SUM($F$44,ТС2,УПР_300БФСТ2*2),""))))</f>
        <v>288320</v>
      </c>
      <c r="F79" s="778">
        <f>IF(AND(F40=1,$E$44=TRUE),SUM($F$44,ТС2,УПР_300ФСТ2,КОФ_300),IF(AND(F40=1,$E$44=FALSE),SUM($F$44,ТС2,УПР_300ФСТ2),IF(AND(F40=2,$E$44=TRUE),SUM($F$44,ТС2,УПР_300ФСТ2*2,КОФ_300*2),IF(AND(F40=2,$E$44=FALSE),SUM($F$44,ТС2,УПР_300ФСТ2*2),""))))</f>
        <v>352720</v>
      </c>
      <c r="G79" s="791">
        <f>IF($G$44=TRUE,"бесфланцевый!",SUM($H$44,ТС2*2,УПР_300БФСТ1*4))</f>
        <v>359640</v>
      </c>
      <c r="H79" s="778">
        <f>IF($G$44=TRUE,SUM($H$44,ТС2*2,УПР_300ФСТ1*4,КОФ_300*4),SUM($H$44,ТС2*2,УПР_300ФСТ1*4))</f>
        <v>408920</v>
      </c>
      <c r="I79" s="770" t="s">
        <v>1132</v>
      </c>
      <c r="J79" s="763" t="s">
        <v>454</v>
      </c>
      <c r="K79" s="758">
        <f>КОФ_300</f>
        <v>21000</v>
      </c>
      <c r="L79" s="760">
        <f>ящ_300</f>
        <v>2800</v>
      </c>
      <c r="M79" s="155"/>
      <c r="N79" s="67"/>
      <c r="O79" s="10"/>
      <c r="P79" s="10"/>
      <c r="Q79" s="10"/>
    </row>
    <row r="80" spans="1:17" ht="15" customHeight="1" x14ac:dyDescent="0.2">
      <c r="A80" s="1"/>
      <c r="B80" s="290">
        <v>350</v>
      </c>
      <c r="C80" s="787">
        <f>IF(AND(D40=1,$C$44=TRUE),"бесфланцевый!",IF(AND(D40=1,$C$44=FALSE),SUM($D$44,ТС2,УПР_350БФСТ1),IF(AND(D40=2,$C$44=TRUE),"бесфланцевый!",IF(AND(D40=2,$C$44=FALSE),SUM($D$44,ТС2,УПР_350БФСТ1*2),""))))</f>
        <v>211320</v>
      </c>
      <c r="D80" s="790">
        <f>IF(AND(D40=1,$C$44=TRUE),SUM($D$44,ТС2,УПР_350ФСТ1,КОФ_350),IF(AND(D40=1,$C$44=FALSE),SUM($D$44,ТС2,УПР_350ФСТ1),IF(AND(D40=2,$C$44=TRUE),SUM($D$44,ТС2,УПР_350ФСТ1*2,КОФ_350*2),IF(AND(D40=2,$C$44=FALSE),SUM($D$44,ТС2,УПР_350ФСТ1*2),""))))</f>
        <v>256960</v>
      </c>
      <c r="E80" s="791">
        <f>IF(AND(F40=1,$E$44=TRUE),"бесфланцевый!",IF(AND(F40=1,$E$44=FALSE),SUM($F$44,ТС2,УПР_350БФСТ2),IF(AND(F40=2,$E$44=TRUE),"бесфланцевый!",IF(AND(F40=2,$E$44=FALSE),SUM($F$44,ТС2,УПР_350БФСТ2*2),""))))</f>
        <v>310720</v>
      </c>
      <c r="F80" s="778">
        <f>IF(AND(F40=1,$E$44=TRUE),SUM($F$44,ТС2,УПР_350ФСТ2,КОФ_350),IF(AND(F40=1,$E$44=FALSE),SUM($F$44,ТС2,УПР_350ФСТ2),IF(AND(F40=2,$E$44=TRUE),SUM($F$44,ТС2,УПР_350ФСТ2*2,КОФ_350*2),IF(AND(F40=2,$E$44=FALSE),SUM($F$44,ТС2,УПР_350ФСТ2*2),""))))</f>
        <v>422720</v>
      </c>
      <c r="G80" s="779">
        <f>IF($G$44=TRUE,"бесфланцевый!",SUM($H$44,ТС2*2,УПР_350БФСТ1*4))</f>
        <v>387640</v>
      </c>
      <c r="H80" s="688">
        <f>IF($G$44=TRUE,SUM($H$44,ТС2*2,УПР_350ФСТ1*4,КОФ_350*4),SUM($H$44,ТС2*2,УПР_350ФСТ1*4))</f>
        <v>478920</v>
      </c>
      <c r="I80" s="794" t="s">
        <v>1132</v>
      </c>
      <c r="J80" s="763" t="s">
        <v>454</v>
      </c>
      <c r="K80" s="758">
        <f>КОФ_350</f>
        <v>26320</v>
      </c>
      <c r="L80" s="760">
        <f>ящ_350</f>
        <v>2800</v>
      </c>
      <c r="M80" s="155"/>
      <c r="N80" s="67"/>
      <c r="O80" s="10"/>
      <c r="P80" s="10"/>
      <c r="Q80" s="10"/>
    </row>
    <row r="81" spans="1:18" ht="15" customHeight="1" x14ac:dyDescent="0.2">
      <c r="A81" s="1"/>
      <c r="B81" s="290">
        <v>400</v>
      </c>
      <c r="C81" s="791">
        <f>IF(AND(D40=1,$C$44=TRUE),"бесфланцевый!",IF(AND(D40=1,$C$44=FALSE),SUM($D$44,ТС2,УПР_400БФСТ1),IF(AND(D40=2,$C$44=TRUE),"бесфланцевый!",IF(AND(D40=2,$C$44=FALSE),SUM($D$44,ТС2,УПР_400БФСТ1*2),""))))</f>
        <v>221960</v>
      </c>
      <c r="D81" s="688">
        <f>IF(AND(D40=1,$C$44=TRUE),SUM($D$44,ТС2,УПР_400ФСТ1,КОФ_400),IF(AND(D40=1,$C$44=FALSE),SUM($D$44,ТС2,УПР_400ФСТ1),IF(AND(D40=2,$C$44=TRUE),SUM($D$44,ТС2,УПР_400ФСТ1*2,КОФ_400*2),IF(AND(D40=2,$C$44=FALSE),SUM($D$44,ТС2,УПР_400ФСТ1*2),""))))</f>
        <v>309320</v>
      </c>
      <c r="E81" s="779">
        <f>IF(AND(F40=1,$E$44=TRUE),"бесфланцевый!",IF(AND(F40=1,$E$44=FALSE),SUM($F$44,ТС2,УПР_400БФСТ2),IF(AND(F40=2,$E$44=TRUE),"бесфланцевый!",IF(AND(F40=2,$E$44=FALSE),SUM($F$44,ТС2,УПР_400БФСТ2*2),""))))</f>
        <v>338720</v>
      </c>
      <c r="F81" s="688">
        <f>IF(AND(F40=1,$E$44=TRUE),SUM($F$44,ТС2,УПР_400ФСТ2,КОФ_400),IF(AND(F40=1,$E$44=FALSE),SUM($F$44,ТС2,УПР_400ФСТ2),IF(AND(F40=2,$E$44=TRUE),SUM($F$44,ТС2,УПР_400ФСТ2*2,КОФ_400*2),IF(AND(F40=2,$E$44=FALSE),SUM($F$44,ТС2,УПР_400ФСТ2*2),""))))</f>
        <v>450720</v>
      </c>
      <c r="G81" s="787">
        <f>IF($G$44=TRUE,"бесфланцевый!",SUM($H$44,ТС2*2,УПР_400БФСТ1*4))</f>
        <v>408920</v>
      </c>
      <c r="H81" s="778">
        <f>IF($G$44=TRUE,SUM($H$44,ТС2*2,УПР_400ФСТ1*4,КОФ_400*4),SUM($H$44,ТС2*2,УПР_400ФСТ1*4))</f>
        <v>583640</v>
      </c>
      <c r="I81" s="794" t="s">
        <v>1132</v>
      </c>
      <c r="J81" s="764" t="s">
        <v>454</v>
      </c>
      <c r="K81" s="760">
        <f>КОФ_400</f>
        <v>31500</v>
      </c>
      <c r="L81" s="760">
        <f>ящ_400</f>
        <v>4200</v>
      </c>
      <c r="M81" s="155"/>
      <c r="N81" s="67"/>
      <c r="O81" s="10"/>
      <c r="P81" s="10"/>
      <c r="Q81" s="10"/>
    </row>
    <row r="82" spans="1:18" ht="15" customHeight="1" x14ac:dyDescent="0.2">
      <c r="A82" s="1"/>
      <c r="B82" s="291">
        <v>500</v>
      </c>
      <c r="C82" s="791">
        <f>IF(AND(D40=1,$C$44=TRUE),"бесфланцевый!",IF(AND(D40=1,$C$44=FALSE),SUM($D$44,ТС2,УПР_500БФСТ1),IF(AND(D40=2,$C$44=TRUE),"бесфланцевый!",IF(AND(D40=2,$C$44=FALSE),SUM($D$44,ТС2,УПР_500БФСТ1*2),""))))</f>
        <v>309320</v>
      </c>
      <c r="D82" s="778">
        <f>IF(AND(D40=1,$C$44=TRUE),SUM($D$44,ТС2,УПР_500ФСТ1,КОФ_500),IF(AND(D40=1,$C$44=FALSE),SUM($D$44,ТС2,УПР_500ФСТ1),IF(AND(D40=2,$C$44=TRUE),SUM($D$44,ТС2,УПР_500ФСТ1*2,КОФ_500*2),IF(AND(D40=2,$C$44=FALSE),SUM($D$44,ТС2,УПР_500ФСТ1*2),""))))</f>
        <v>414320</v>
      </c>
      <c r="E82" s="791">
        <f>IF(AND(F40=1,$E$44=TRUE),"бесфланцевый!",IF(AND(F40=1,$E$44=FALSE),SUM($F$44,ТС2,УПР_500БФСТ2),IF(AND(F40=2,$E$44=TRUE),"бесфланцевый!",IF(AND(F40=2,$E$44=FALSE),SUM($F$44,ТС2,УПР_500БФСТ2*2),""))))</f>
        <v>464720</v>
      </c>
      <c r="F82" s="778">
        <f>IF(AND(F40=1,$E$44=TRUE),SUM($F$44,ТС2,УПР_500ФСТ2,КОФ_500),IF(AND(F40=1,$E$44=FALSE),SUM($F$44,ТС2,УПР_500ФСТ2),IF(AND(F40=2,$E$44=TRUE),SUM($F$44,ТС2,УПР_500ФСТ2*2,КОФ_500*2),IF(AND(F40=2,$E$44=FALSE),SUM($F$44,ТС2,УПР_500ФСТ2*2),""))))</f>
        <v>646720</v>
      </c>
      <c r="G82" s="791">
        <f>IF($G$44=TRUE,"бесфланцевый!",SUM($H$44,ТС2*2,УПР_500БФСТ1*4))</f>
        <v>583640</v>
      </c>
      <c r="H82" s="688">
        <f>IF($G$44=TRUE,SUM($H$44,ТС2*2,УПР_500ФСТ1*4,КОФ_500*4),SUM($H$44,ТС2*2,УПР_500ФСТ1*4))</f>
        <v>793640</v>
      </c>
      <c r="I82" s="769" t="s">
        <v>1132</v>
      </c>
      <c r="J82" s="763" t="s">
        <v>454</v>
      </c>
      <c r="K82" s="760">
        <f>КОФ_500</f>
        <v>43820</v>
      </c>
      <c r="L82" s="760">
        <f>ящ_500</f>
        <v>4200</v>
      </c>
      <c r="M82" s="155"/>
      <c r="N82" s="67"/>
      <c r="O82" s="10"/>
      <c r="P82" s="10"/>
      <c r="Q82" s="10"/>
      <c r="R82" s="10"/>
    </row>
    <row r="83" spans="1:18" ht="15" customHeight="1" x14ac:dyDescent="0.2">
      <c r="A83" s="1"/>
      <c r="B83" s="290">
        <v>600</v>
      </c>
      <c r="C83" s="779">
        <f>IF(AND(D40=1,$C$44=TRUE),"бесфланцевый!",IF(AND(D40=1,$C$44=FALSE),SUM($D$44,ТС2,УПР_600БФСТ1),IF(AND(D40=2,$C$44=TRUE),"бесфланцевый!",IF(AND(D40=2,$C$44=FALSE),SUM($D$44,ТС2,УПР_600БФСТ1*2),""))))</f>
        <v>379320</v>
      </c>
      <c r="D83" s="778">
        <f>IF(AND(D40=1,$C$44=TRUE),SUM($D$44,ТС2,УПР_600ФСТ1,КОФ_600),IF(AND(D40=1,$C$44=FALSE),SUM($D$44,ТС2,УПР_600ФСТ1),IF(AND(D40=2,$C$44=TRUE),SUM($D$44,ТС2,УПР_600ФСТ1*2,КОФ_600*2),IF(AND(D40=2,$C$44=FALSE),SUM($D$44,ТС2,УПР_600ФСТ1*2),""))))</f>
        <v>554320</v>
      </c>
      <c r="E83" s="791">
        <f>IF(AND(F40=1,$E$44=TRUE),"бесфланцевый!",IF(AND(F40=1,$E$44=FALSE),SUM($F$44,ТС2,УПР_600БФСТ2),IF(AND(F40=2,$E$44=TRUE),"бесфланцевый!",IF(AND(F40=2,$E$44=FALSE),SUM($F$44,ТС2,УПР_600БФСТ2*2),""))))</f>
        <v>618720</v>
      </c>
      <c r="F83" s="778">
        <f>IF(AND(F40=1,$E$44=TRUE),SUM($F$44,ТС2,УПР_600ФСТ2,КОФ_600),IF(AND(F40=1,$E$44=FALSE),SUM($F$44,ТС2,УПР_600ФСТ2),IF(AND(F40=2,$E$44=TRUE),SUM($F$44,ТС2,УПР_600ФСТ2*2,КОФ_600*2),IF(AND(F40=2,$E$44=FALSE),SUM($F$44,ТС2,УПР_600ФСТ2*2),""))))</f>
        <v>786720</v>
      </c>
      <c r="G83" s="791">
        <f>IF($G$44=TRUE,"бесфланцевый!",SUM($H$44,ТС2*2,УПР_600БФСТ1*4))</f>
        <v>723640</v>
      </c>
      <c r="H83" s="778">
        <f>IF($G$44=TRUE,SUM($H$44,ТС2*2,УПР_600ФСТ1*4,КОФ_600*4),SUM($H$44,ТС2*2,УПР_600ФСТ1*4))</f>
        <v>1073640</v>
      </c>
      <c r="I83" s="770" t="s">
        <v>1132</v>
      </c>
      <c r="J83" s="763" t="s">
        <v>454</v>
      </c>
      <c r="K83" s="761">
        <f>КОФ_600</f>
        <v>70000</v>
      </c>
      <c r="L83" s="761">
        <f>ящ_600</f>
        <v>4200</v>
      </c>
      <c r="M83" s="67"/>
      <c r="N83" s="67"/>
      <c r="O83" s="10"/>
      <c r="P83" s="10"/>
      <c r="Q83" s="10"/>
      <c r="R83" s="10"/>
    </row>
    <row r="84" spans="1:18" ht="15" customHeight="1" x14ac:dyDescent="0.2">
      <c r="A84" s="1"/>
      <c r="B84" s="290">
        <v>700</v>
      </c>
      <c r="C84" s="787">
        <f>IF(AND(D40=1,$C$44=TRUE),"бесфланцевый!",IF(AND(D40=1,$C$44=FALSE),SUM($D$44,ТС2,УПР_700БФСТ1),IF(AND(D40=2,$C$44=TRUE),"бесфланцевый!",IF(AND(D40=2,$C$44=FALSE),SUM($D$44,ТС2,УПР_700БФСТ1*2),""))))</f>
        <v>414320</v>
      </c>
      <c r="D84" s="778">
        <f>IF(AND(D40=1,$C$44=TRUE),SUM($D$44,ТС2,УПР_700ФСТ1,КОФ_700),IF(AND(D40=1,$C$44=FALSE),SUM($D$44,ТС2,УПР_700ФСТ1),IF(AND(D40=2,$C$44=TRUE),SUM($D$44,ТС2,УПР_700ФСТ1*2,КОФ_700*2),IF(AND(D40=2,$C$44=FALSE),SUM($D$44,ТС2,УПР_700ФСТ1*2),""))))</f>
        <v>624320</v>
      </c>
      <c r="E84" s="791">
        <f>IF(AND(F40=1,$E$44=TRUE),"бесфланцевый!",IF(AND(F40=1,$E$44=FALSE),SUM($F$44,ТС2,УПР_700БФСТ2),IF(AND(F40=2,$E$44=TRUE),"бесфланцевый!",IF(AND(F40=2,$E$44=FALSE),SUM($F$44,ТС2,УПР_700БФСТ2*2),""))))</f>
        <v>708320</v>
      </c>
      <c r="F84" s="778">
        <f>IF(AND(F40=1,$E$44=TRUE),SUM($F$44,ТС2,УПР_700ФСТ2,КОФ_700),IF(AND(F40=1,$E$44=FALSE),SUM($F$44,ТС2,УПР_700ФСТ2),IF(AND(F40=2,$E$44=TRUE),SUM($F$44,ТС2,УПР_700ФСТ2*2,КОФ_700*2),IF(AND(F40=2,$E$44=FALSE),SUM($F$44,ТС2,УПР_700ФСТ2*2),""))))</f>
        <v>926720</v>
      </c>
      <c r="G84" s="791">
        <f>IF($G$44=TRUE,"бесфланцевый!",SUM($H$44,ТС2*2,УПР_700БФСТ1*4))</f>
        <v>793640</v>
      </c>
      <c r="H84" s="778">
        <f>IF($G$44=TRUE,SUM($H$44,ТС2*2,УПР_700ФСТ1*4,КОФ_700*4),SUM($H$44,ТС2*2,УПР_700ФСТ1*4))</f>
        <v>1213640</v>
      </c>
      <c r="I84" s="769" t="s">
        <v>1132</v>
      </c>
      <c r="J84" s="763" t="s">
        <v>454</v>
      </c>
      <c r="K84" s="760">
        <f>КОФ_700</f>
        <v>87500</v>
      </c>
      <c r="L84" s="760">
        <f>ящ_700</f>
        <v>5600</v>
      </c>
      <c r="M84" s="67"/>
      <c r="N84" s="67"/>
      <c r="O84" s="10"/>
      <c r="P84" s="10"/>
      <c r="Q84" s="10"/>
      <c r="R84" s="10"/>
    </row>
    <row r="85" spans="1:18" ht="15" customHeight="1" x14ac:dyDescent="0.2">
      <c r="A85" s="1"/>
      <c r="B85" s="291">
        <v>800</v>
      </c>
      <c r="C85" s="787">
        <f>IF(AND(D40=1,$C$44=TRUE),"бесфланцевый!",IF(AND(D40=1,$C$44=FALSE),SUM($D$44,ТС2,УПР_800БФСТ1),IF(AND(D40=2,$C$44=TRUE),"бесфланцевый!",IF(AND(D40=2,$C$44=FALSE),SUM($D$44,ТС2,УПР_800БФСТ1*2),""))))</f>
        <v>519320</v>
      </c>
      <c r="D85" s="778">
        <f>IF(AND(D40=1,$C$44=TRUE),SUM($D$44,ТС2,УПР_800ФСТ1,КОФ_800),IF(AND(D40=1,$C$44=FALSE),SUM($D$44,ТС2,УПР_800ФСТ1),IF(AND(D40=2,$C$44=TRUE),SUM($D$44,ТС2,УПР_800ФСТ1*2,КОФ_800*2),IF(AND(D40=2,$C$44=FALSE),SUM($D$44,ТС2,УПР_800ФСТ1*2),""))))</f>
        <v>694320</v>
      </c>
      <c r="E85" s="791">
        <f>IF(AND(F40=1,$E$44=TRUE),"бесфланцевый!",IF(AND(F40=1,$E$44=FALSE),SUM($F$44,ТС2,УПР_800БФСТ2),IF(AND(F40=2,$E$44=TRUE),"бесфланцевый!",IF(AND(F40=2,$E$44=FALSE),SUM($F$44,ТС2,УПР_800БФСТ2*2),""))))</f>
        <v>786720</v>
      </c>
      <c r="F85" s="688">
        <f>IF(AND(F40=1,$E$44=TRUE),SUM($F$44,ТС2,УПР_800ФСТ2,КОФ_800),IF(AND(F40=1,$E$44=FALSE),SUM($F$44,ТС2,УПР_800ФСТ2),IF(AND(F40=2,$E$44=TRUE),SUM($F$44,ТС2,УПР_800ФСТ2*2,КОФ_800*2),IF(AND(F40=2,$E$44=FALSE),SUM($F$44,ТС2,УПР_800ФСТ2*2),""))))</f>
        <v>1010720</v>
      </c>
      <c r="G85" s="779">
        <f>IF($G$44=TRUE,"бесфланцевый!",SUM($H$44,ТС2*2,УПР_800БФСТ1*4))</f>
        <v>1003640</v>
      </c>
      <c r="H85" s="778">
        <f>IF($G$44=TRUE,SUM($H$44,ТС2*2,УПР_800ФСТ1*4,КОФ_800*4),SUM($H$44,ТС2*2,УПР_800ФСТ1*4))</f>
        <v>1353640</v>
      </c>
      <c r="I85" s="770" t="s">
        <v>1132</v>
      </c>
      <c r="J85" s="764" t="s">
        <v>454</v>
      </c>
      <c r="K85" s="761">
        <f>КОФ_800</f>
        <v>122500</v>
      </c>
      <c r="L85" s="760">
        <f>ящ_800</f>
        <v>5600</v>
      </c>
      <c r="M85" s="156"/>
      <c r="N85" s="67"/>
      <c r="O85" s="10"/>
      <c r="P85" s="10"/>
      <c r="Q85" s="10"/>
      <c r="R85" s="10"/>
    </row>
    <row r="86" spans="1:18" ht="15" customHeight="1" x14ac:dyDescent="0.2">
      <c r="A86" s="1"/>
      <c r="B86" s="290">
        <v>900</v>
      </c>
      <c r="C86" s="787">
        <f>IF(AND(D40=1,$C$44=TRUE),"бесфланцевый!",IF(AND(D40=1,$C$44=FALSE),SUM($D$44,ТС2,УПР_900БФСТ1),IF(AND(D40=2,$C$44=TRUE),"бесфланцевый!",IF(AND(D40=2,$C$44=FALSE),SUM($D$44,ТС2,УПР_900БФСТ1*2),""))))</f>
        <v>694320</v>
      </c>
      <c r="D86" s="778">
        <f>IF(AND(D40=1,$C$44=TRUE),SUM($D$44,ТС2,УПР_900ФСТ1,КОФ_900),IF(AND(D40=1,$C$44=FALSE),SUM($D$44,ТС2,УПР_900ФСТ1),IF(AND(D40=2,$C$44=TRUE),SUM($D$44,ТС2,УПР_900ФСТ1*2,КОФ_900*2),IF(AND(D40=2,$C$44=FALSE),SUM($D$44,ТС2,УПР_900ФСТ1*2),""))))</f>
        <v>939320</v>
      </c>
      <c r="E86" s="791">
        <f>IF(AND(F40=1,$E$44=TRUE),"бесфланцевый!",IF(AND(F40=1,$E$44=FALSE),SUM($F$44,ТС2,УПР_900БФСТ2),IF(AND(F40=2,$E$44=TRUE),"бесфланцевый!",IF(AND(F40=2,$E$44=FALSE),SUM($F$44,ТС2,УПР_900БФСТ2*2),""))))</f>
        <v>1136720</v>
      </c>
      <c r="F86" s="778">
        <f>IF(AND(F40=1,$E$44=TRUE),SUM($F$44,ТС2,УПР_900ФСТ2,КОФ_900),IF(AND(F40=1,$E$44=FALSE),SUM($F$44,ТС2,УПР_900ФСТ2),IF(AND(F40=2,$E$44=TRUE),SUM($F$44,ТС2,УПР_900ФСТ2*2,КОФ_900*2),IF(AND(F40=2,$E$44=FALSE),SUM($F$44,ТС2,УПР_900ФСТ2*2),""))))</f>
        <v>1346720</v>
      </c>
      <c r="G86" s="787">
        <f>IF($G$44=TRUE,"бесфланцевый!",SUM($H$44,ТС2*2,УПР_900БФСТ1*4))</f>
        <v>1353640</v>
      </c>
      <c r="H86" s="778">
        <f>IF($G$44=TRUE,SUM($H$44,ТС2*2,УПР_900ФСТ1*4,КОФ_900*4),SUM($H$44,ТС2*2,УПР_900ФСТ1*4))</f>
        <v>1843640</v>
      </c>
      <c r="I86" s="769" t="s">
        <v>1132</v>
      </c>
      <c r="J86" s="763" t="s">
        <v>454</v>
      </c>
      <c r="K86" s="758">
        <f>КОФ_900</f>
        <v>168000</v>
      </c>
      <c r="L86" s="761">
        <f>ящ_900</f>
        <v>5600</v>
      </c>
      <c r="M86" s="156"/>
      <c r="N86" s="67"/>
      <c r="O86" s="10"/>
      <c r="P86" s="10"/>
      <c r="Q86" s="10"/>
      <c r="R86" s="10"/>
    </row>
    <row r="87" spans="1:18" ht="15" customHeight="1" x14ac:dyDescent="0.2">
      <c r="A87" s="1"/>
      <c r="B87" s="290">
        <v>1000</v>
      </c>
      <c r="C87" s="791">
        <f>IF(AND(D40=1,$C$44=TRUE),"бесфланцевый!",IF(AND(D40=1,$C$44=FALSE),SUM($D$44,ТС2,УПР_1000БФСТ1),IF(AND(D40=2,$C$44=TRUE),"бесфланцевый!",IF(AND(D40=2,$C$44=FALSE),SUM($D$44,ТС2,УПР_1000БФСТ1*2),""))))</f>
        <v>904320</v>
      </c>
      <c r="D87" s="778">
        <f>IF(AND(D40=1,$C$44=TRUE),SUM($D$44,ТС2,УПР_1000ФСТ1,КОФ_1000),IF(AND(D40=1,$C$44=FALSE),SUM($D$44,ТС2,УПР_1000ФСТ1),IF(AND(D40=2,$C$44=TRUE),SUM($D$44,ТС2,УПР_1000ФСТ1*2,КОФ_1000*2),IF(AND(D40=2,$C$44=FALSE),SUM($D$44,ТС2,УПР_1000ФСТ1*2),""))))</f>
        <v>1184320</v>
      </c>
      <c r="E87" s="791">
        <f>IF(AND(F40=1,$E$44=TRUE),"бесфланцевый!",IF(AND(F40=1,$E$44=FALSE),SUM($F$44,ТС2,УПР_1000БФСТ2),IF(AND(F40=2,$E$44=TRUE),"бесфланцевый!",IF(AND(F40=2,$E$44=FALSE),SUM($F$44,ТС2,УПР_1000БФСТ2*2),""))))</f>
        <v>1262720</v>
      </c>
      <c r="F87" s="778">
        <f>IF(AND(F40=1,$E$44=TRUE),SUM($F$44,ТС2,УПР_1000ФСТ2,КОФ_1000),IF(AND(F40=1,$E$44=FALSE),SUM($F$44,ТС2,УПР_1000ФСТ2),IF(AND(F40=2,$E$44=TRUE),SUM($F$44,ТС2,УПР_1000ФСТ2*2,КОФ_1000*2),IF(AND(F40=2,$E$44=FALSE),SUM($F$44,ТС2,УПР_1000ФСТ2*2),""))))</f>
        <v>1556720</v>
      </c>
      <c r="G87" s="791">
        <f>IF($G$44=TRUE,"бесфланцевый!",SUM($H$44,ТС2*2,УПР_1000БФСТ1*4))</f>
        <v>1773640</v>
      </c>
      <c r="H87" s="778">
        <f>IF($G$44=TRUE,SUM($H$44,ТС2*2,УПР_1000ФСТ1*4,КОФ_1000*4),SUM($H$44,ТС2*2,УПР_1000ФСТ1*4))</f>
        <v>2333640</v>
      </c>
      <c r="I87" s="770" t="s">
        <v>1132</v>
      </c>
      <c r="J87" s="763" t="s">
        <v>454</v>
      </c>
      <c r="K87" s="758">
        <f>КОФ_1000</f>
        <v>192500</v>
      </c>
      <c r="L87" s="760">
        <f>ящ_1000</f>
        <v>7000</v>
      </c>
      <c r="M87" s="67"/>
      <c r="N87" s="67"/>
      <c r="O87" s="10"/>
      <c r="P87" s="10"/>
      <c r="Q87" s="10"/>
      <c r="R87" s="10"/>
    </row>
    <row r="88" spans="1:18" ht="15" customHeight="1" x14ac:dyDescent="0.2">
      <c r="A88" s="1"/>
      <c r="B88" s="290">
        <v>1200</v>
      </c>
      <c r="C88" s="1637" t="str">
        <f>IF($C$44=TRUE,"_",УПР_1200БФСТ1)</f>
        <v>по запросу</v>
      </c>
      <c r="D88" s="1638" t="str">
        <f>УПР_1200ФСТ1</f>
        <v>по запросу</v>
      </c>
      <c r="E88" s="1495" t="str">
        <f>IF($E$44=TRUE,"_",УПР_1200БФСТ2)</f>
        <v>по запросу</v>
      </c>
      <c r="F88" s="1478" t="str">
        <f>УПР_1200ФСТ2</f>
        <v>по запросу</v>
      </c>
      <c r="G88" s="1495" t="str">
        <f>IF($C$44=TRUE,"_",УПР_1200БФСТ1)</f>
        <v>по запросу</v>
      </c>
      <c r="H88" s="1499" t="str">
        <f>УПР_1200ФСТ1</f>
        <v>по запросу</v>
      </c>
      <c r="I88" s="769" t="s">
        <v>1132</v>
      </c>
      <c r="J88" s="763" t="s">
        <v>454</v>
      </c>
      <c r="K88" s="1501" t="str">
        <f>КОФ_1200</f>
        <v>по запросу</v>
      </c>
      <c r="L88" s="777">
        <f>ящ_1200</f>
        <v>7000</v>
      </c>
      <c r="M88" s="67"/>
      <c r="N88" s="67"/>
      <c r="O88" s="10"/>
      <c r="P88" s="10"/>
      <c r="Q88" s="10"/>
      <c r="R88" s="10"/>
    </row>
    <row r="89" spans="1:18" ht="15" customHeight="1" x14ac:dyDescent="0.2">
      <c r="A89" s="1"/>
      <c r="B89" s="290">
        <v>1400</v>
      </c>
      <c r="C89" s="1639" t="str">
        <f>IF($C$44=TRUE,"_",УПР_1400БФСТ1)</f>
        <v>по запросу</v>
      </c>
      <c r="D89" s="1638" t="str">
        <f>УПР_1400ФСТ1</f>
        <v>по запросу</v>
      </c>
      <c r="E89" s="1479" t="str">
        <f>IF($E$44=TRUE,"_",УПР_1400БФСТ2)</f>
        <v>по запросу</v>
      </c>
      <c r="F89" s="1478" t="str">
        <f>УПР_1200ФСТ2</f>
        <v>по запросу</v>
      </c>
      <c r="G89" s="1479" t="str">
        <f>IF($C$44=TRUE,"_",УПР_1400БФСТ1)</f>
        <v>по запросу</v>
      </c>
      <c r="H89" s="1499" t="str">
        <f>УПР_1200ФСТ1</f>
        <v>по запросу</v>
      </c>
      <c r="I89" s="769" t="s">
        <v>1132</v>
      </c>
      <c r="J89" s="763" t="s">
        <v>454</v>
      </c>
      <c r="K89" s="1501" t="str">
        <f>КОФ_1200</f>
        <v>по запросу</v>
      </c>
      <c r="L89" s="777">
        <f>ящ_1200</f>
        <v>7000</v>
      </c>
      <c r="M89" s="67"/>
      <c r="N89" s="67"/>
      <c r="O89" s="10"/>
      <c r="P89" s="10"/>
      <c r="Q89" s="10"/>
      <c r="R89" s="10"/>
    </row>
    <row r="90" spans="1:18" ht="15" customHeight="1" thickBot="1" x14ac:dyDescent="0.25">
      <c r="A90" s="1"/>
      <c r="B90" s="293">
        <v>1400</v>
      </c>
      <c r="C90" s="1496" t="str">
        <f>IF($C$44=TRUE,"_",УПР_1400БФСТ1)</f>
        <v>по запросу</v>
      </c>
      <c r="D90" s="1497" t="str">
        <f>УПР_1400ФСТ1</f>
        <v>по запросу</v>
      </c>
      <c r="E90" s="1496" t="str">
        <f>IF($E$44=TRUE,"_",УПР_1400БФСТ2)</f>
        <v>по запросу</v>
      </c>
      <c r="F90" s="1503" t="str">
        <f>УПР_1400ФСТ2</f>
        <v>по запросу</v>
      </c>
      <c r="G90" s="1496" t="str">
        <f>IF($C$44=TRUE,"_",УПР_1400БФСТ1)</f>
        <v>по запросу</v>
      </c>
      <c r="H90" s="1497" t="str">
        <f>УПР_1400ФСТ1</f>
        <v>по запросу</v>
      </c>
      <c r="I90" s="1134" t="s">
        <v>1132</v>
      </c>
      <c r="J90" s="764" t="s">
        <v>454</v>
      </c>
      <c r="K90" s="1498" t="str">
        <f>КОФ_1400</f>
        <v>по запросу</v>
      </c>
      <c r="L90" s="776">
        <f>ящ_1400</f>
        <v>7000</v>
      </c>
      <c r="M90" s="67"/>
      <c r="N90" s="67"/>
      <c r="O90" s="10"/>
      <c r="P90" s="10"/>
      <c r="Q90" s="10"/>
      <c r="R90" s="10"/>
    </row>
    <row r="91" spans="1:18" ht="15" customHeight="1" x14ac:dyDescent="0.2">
      <c r="A91" s="1"/>
      <c r="B91" s="292"/>
      <c r="C91" s="1960" t="s">
        <v>1124</v>
      </c>
      <c r="D91" s="1961"/>
      <c r="E91" s="1962" t="s">
        <v>1124</v>
      </c>
      <c r="F91" s="1781"/>
      <c r="G91" s="1963" t="s">
        <v>1124</v>
      </c>
      <c r="H91" s="1961"/>
      <c r="I91" s="587" t="s">
        <v>44</v>
      </c>
      <c r="J91" s="586" t="s">
        <v>1306</v>
      </c>
      <c r="K91" s="802"/>
      <c r="L91" s="775"/>
      <c r="M91" s="67"/>
      <c r="N91" s="67"/>
      <c r="O91" s="10"/>
      <c r="P91" s="10"/>
      <c r="Q91" s="10"/>
      <c r="R91" s="10"/>
    </row>
    <row r="92" spans="1:18" ht="15" customHeight="1" x14ac:dyDescent="0.2">
      <c r="A92" s="1"/>
      <c r="B92" s="292" t="s">
        <v>159</v>
      </c>
      <c r="C92" s="1647">
        <f>IF(AND(D40=1,$C$44=TRUE),"КМЧ!",IF(AND(D40=1,$C$44=FALSE),SUM($D$44*1.25,ТС2*1.25, ПЭП34с,КМЧ800_1с),IF(AND(D40=2,$C$44=TRUE),"КМЧ!",IF(AND(D40=2,$C$44=FALSE),SUM($D$44*1.25,ТС2*1.25, ПЭП34с*2,КМЧ800_1с*2),""))))</f>
        <v>110150</v>
      </c>
      <c r="D92" s="718"/>
      <c r="E92" s="1647">
        <f>IF(AND(F40=1,$E$44=TRUE),"КМЧ!",IF(AND(F40=1,$E$44=FALSE),SUM($F$44*1.25,ТС2*1.25, ПЭП34с*2,КМЧ800_2с*2),IF(AND(F40=2,$E$44=TRUE),"КМЧ!",IF(AND(F40=2,$E$44=FALSE),SUM($F$44*1.25,ТС2*1.25, ПЭП34с*4,КМЧ800_2с*4),""))))</f>
        <v>171400</v>
      </c>
      <c r="F92" s="718"/>
      <c r="G92" s="719">
        <f>IF(G44=TRUE,"_",SUM(H44*1.25,ПЭП34с*4,КМЧ800_1с*4,ТС2*2*1.25))</f>
        <v>176550</v>
      </c>
      <c r="H92" s="702"/>
      <c r="I92" s="795" t="s">
        <v>1133</v>
      </c>
      <c r="J92" s="796" t="s">
        <v>1126</v>
      </c>
      <c r="K92" s="774"/>
      <c r="L92" s="757">
        <f>ящ_15</f>
        <v>1400</v>
      </c>
      <c r="M92" s="67"/>
      <c r="N92" s="67"/>
      <c r="O92" s="10"/>
      <c r="P92" s="10"/>
      <c r="Q92" s="10"/>
      <c r="R92" s="10"/>
    </row>
    <row r="93" spans="1:18" ht="12" customHeight="1" x14ac:dyDescent="0.2">
      <c r="A93" s="1"/>
      <c r="B93" s="292" t="s">
        <v>228</v>
      </c>
      <c r="C93" s="100" t="s">
        <v>706</v>
      </c>
      <c r="D93" s="98"/>
      <c r="E93" s="100" t="s">
        <v>706</v>
      </c>
      <c r="F93" s="161"/>
      <c r="G93" s="100" t="s">
        <v>706</v>
      </c>
      <c r="H93" s="163"/>
      <c r="I93" s="115" t="s">
        <v>1301</v>
      </c>
      <c r="J93" s="196"/>
      <c r="K93" s="194"/>
      <c r="L93" s="727"/>
      <c r="M93" s="67"/>
      <c r="N93" s="67"/>
      <c r="O93" s="10"/>
      <c r="P93" s="10"/>
      <c r="Q93" s="10"/>
      <c r="R93" s="10"/>
    </row>
    <row r="94" spans="1:18" ht="11.25" customHeight="1" x14ac:dyDescent="0.2">
      <c r="A94" s="1"/>
      <c r="B94" s="80"/>
      <c r="C94" s="99" t="s">
        <v>708</v>
      </c>
      <c r="D94" s="98"/>
      <c r="E94" s="99" t="s">
        <v>709</v>
      </c>
      <c r="F94" s="97"/>
      <c r="G94" s="99" t="s">
        <v>709</v>
      </c>
      <c r="H94" s="162"/>
      <c r="I94" s="94" t="s">
        <v>1128</v>
      </c>
      <c r="J94" s="102"/>
      <c r="K94" s="195"/>
      <c r="L94" s="727"/>
      <c r="M94" s="67"/>
      <c r="N94" s="67"/>
      <c r="O94" s="10"/>
      <c r="P94" s="10"/>
      <c r="Q94" s="10"/>
      <c r="R94" s="10"/>
    </row>
    <row r="95" spans="1:18" ht="12" customHeight="1" x14ac:dyDescent="0.2">
      <c r="A95" s="1"/>
      <c r="B95" s="80"/>
      <c r="C95" s="99" t="s">
        <v>4</v>
      </c>
      <c r="D95" s="98"/>
      <c r="E95" s="99" t="s">
        <v>5</v>
      </c>
      <c r="F95" s="97"/>
      <c r="G95" s="99" t="s">
        <v>6</v>
      </c>
      <c r="H95" s="162"/>
      <c r="I95" s="94" t="s">
        <v>453</v>
      </c>
      <c r="J95" s="102"/>
      <c r="K95" s="195"/>
      <c r="L95" s="727"/>
      <c r="M95" s="67"/>
      <c r="N95" s="67"/>
      <c r="O95" s="10"/>
      <c r="P95" s="10"/>
      <c r="Q95" s="10"/>
      <c r="R95" s="10"/>
    </row>
    <row r="96" spans="1:18" ht="12" customHeight="1" x14ac:dyDescent="0.2">
      <c r="A96" s="1"/>
      <c r="B96" s="80"/>
      <c r="C96" s="99" t="s">
        <v>43</v>
      </c>
      <c r="D96" s="98"/>
      <c r="E96" s="99" t="s">
        <v>39</v>
      </c>
      <c r="F96" s="97"/>
      <c r="G96" s="99" t="s">
        <v>39</v>
      </c>
      <c r="H96" s="162"/>
      <c r="I96" s="94"/>
      <c r="J96" s="197"/>
      <c r="K96" s="195"/>
      <c r="L96" s="727"/>
      <c r="M96" s="67"/>
      <c r="N96" s="67"/>
      <c r="O96" s="10"/>
      <c r="P96" s="10"/>
      <c r="Q96" s="10"/>
      <c r="R96" s="10"/>
    </row>
    <row r="97" spans="1:18" ht="12" customHeight="1" x14ac:dyDescent="0.2">
      <c r="A97" s="1"/>
      <c r="B97" s="80"/>
      <c r="C97" s="99" t="s">
        <v>41</v>
      </c>
      <c r="D97" s="97"/>
      <c r="E97" s="99" t="s">
        <v>41</v>
      </c>
      <c r="F97" s="97"/>
      <c r="G97" s="99" t="s">
        <v>40</v>
      </c>
      <c r="H97" s="162"/>
      <c r="I97" s="94" t="s">
        <v>705</v>
      </c>
      <c r="J97" s="198"/>
      <c r="K97" s="195"/>
      <c r="L97" s="727"/>
      <c r="M97" s="67"/>
      <c r="N97" s="67"/>
      <c r="O97" s="10"/>
      <c r="P97" s="10"/>
      <c r="Q97" s="10"/>
      <c r="R97" s="10"/>
    </row>
    <row r="98" spans="1:18" ht="12" customHeight="1" x14ac:dyDescent="0.2">
      <c r="A98" s="1"/>
      <c r="B98" s="333"/>
      <c r="C98" s="334" t="s">
        <v>1199</v>
      </c>
      <c r="D98" s="335"/>
      <c r="E98" s="334" t="s">
        <v>1199</v>
      </c>
      <c r="F98" s="336"/>
      <c r="G98" s="334" t="s">
        <v>1199</v>
      </c>
      <c r="H98" s="336"/>
      <c r="I98" s="569" t="s">
        <v>1127</v>
      </c>
      <c r="J98" s="337"/>
      <c r="K98" s="570"/>
      <c r="L98" s="734"/>
      <c r="M98" s="67"/>
      <c r="N98" s="67"/>
      <c r="O98" s="10"/>
      <c r="P98" s="10"/>
      <c r="Q98" s="10"/>
      <c r="R98" s="10"/>
    </row>
    <row r="99" spans="1:18" ht="7.5" customHeight="1" x14ac:dyDescent="0.2">
      <c r="A99" s="1"/>
      <c r="B99" s="332"/>
      <c r="C99" s="320"/>
      <c r="D99" s="320"/>
      <c r="E99" s="320"/>
      <c r="F99" s="211"/>
      <c r="G99" s="211"/>
      <c r="H99" s="568"/>
      <c r="I99" s="454"/>
      <c r="J99" s="320"/>
      <c r="K99" s="321"/>
      <c r="L99" s="321"/>
      <c r="M99" s="67"/>
      <c r="N99" s="67"/>
      <c r="O99" s="10"/>
      <c r="P99" s="10"/>
      <c r="Q99" s="10"/>
    </row>
    <row r="100" spans="1:18" ht="15" customHeight="1" x14ac:dyDescent="0.2">
      <c r="A100" s="1"/>
      <c r="B100" s="108"/>
      <c r="C100" s="147" t="s">
        <v>473</v>
      </c>
      <c r="D100" s="145"/>
      <c r="E100" s="147" t="s">
        <v>473</v>
      </c>
      <c r="F100" s="148"/>
      <c r="G100" s="147" t="s">
        <v>473</v>
      </c>
      <c r="H100" s="167"/>
      <c r="I100" s="114" t="s">
        <v>1437</v>
      </c>
      <c r="J100" s="78"/>
      <c r="K100" s="567"/>
      <c r="L100" s="733"/>
      <c r="M100" s="67"/>
      <c r="N100" s="67"/>
      <c r="O100" s="10"/>
      <c r="P100" s="10"/>
      <c r="Q100" s="10"/>
    </row>
    <row r="101" spans="1:18" ht="11.25" customHeight="1" x14ac:dyDescent="0.2">
      <c r="A101" s="1"/>
      <c r="B101" s="107"/>
      <c r="C101" s="178" t="s">
        <v>155</v>
      </c>
      <c r="D101" s="31"/>
      <c r="E101" s="183" t="s">
        <v>155</v>
      </c>
      <c r="F101" s="169"/>
      <c r="G101" s="183" t="s">
        <v>155</v>
      </c>
      <c r="H101" s="31"/>
      <c r="I101" s="113" t="s">
        <v>1312</v>
      </c>
      <c r="J101" s="83"/>
      <c r="K101" s="188"/>
      <c r="L101" s="733"/>
      <c r="M101" s="67"/>
      <c r="N101" s="67"/>
      <c r="O101" s="10"/>
      <c r="P101" s="10"/>
      <c r="Q101" s="10"/>
    </row>
    <row r="102" spans="1:18" ht="15" customHeight="1" thickBot="1" x14ac:dyDescent="0.25">
      <c r="A102" s="1"/>
      <c r="B102" s="109"/>
      <c r="C102" s="179" t="s">
        <v>1446</v>
      </c>
      <c r="D102" s="146"/>
      <c r="E102" s="184" t="s">
        <v>1446</v>
      </c>
      <c r="F102" s="168"/>
      <c r="G102" s="184" t="s">
        <v>1447</v>
      </c>
      <c r="H102" s="168"/>
      <c r="I102" s="166"/>
      <c r="J102" s="103"/>
      <c r="K102" s="193"/>
      <c r="L102" s="733"/>
      <c r="M102" s="67"/>
      <c r="N102" s="67"/>
      <c r="O102" s="10"/>
      <c r="P102" s="10"/>
      <c r="Q102" s="10"/>
    </row>
    <row r="103" spans="1:18" ht="15" customHeight="1" x14ac:dyDescent="0.2">
      <c r="A103" s="1"/>
      <c r="B103" s="106"/>
      <c r="C103" s="180" t="s">
        <v>126</v>
      </c>
      <c r="D103" s="170"/>
      <c r="E103" s="185" t="s">
        <v>126</v>
      </c>
      <c r="F103" s="172"/>
      <c r="G103" s="185" t="s">
        <v>126</v>
      </c>
      <c r="H103" s="172"/>
      <c r="I103" s="112" t="s">
        <v>1332</v>
      </c>
      <c r="J103" s="190"/>
      <c r="K103" s="187"/>
      <c r="L103" s="733"/>
      <c r="M103" s="67"/>
      <c r="N103" s="67"/>
      <c r="O103" s="10"/>
      <c r="P103" s="10"/>
      <c r="Q103" s="10"/>
    </row>
    <row r="104" spans="1:18" ht="12" customHeight="1" x14ac:dyDescent="0.2">
      <c r="A104" s="1"/>
      <c r="B104" s="152" t="s">
        <v>229</v>
      </c>
      <c r="C104" s="181" t="s">
        <v>1421</v>
      </c>
      <c r="D104" s="171"/>
      <c r="E104" s="186" t="s">
        <v>1422</v>
      </c>
      <c r="F104" s="171"/>
      <c r="G104" s="186" t="s">
        <v>1421</v>
      </c>
      <c r="H104" s="173"/>
      <c r="I104" s="200" t="s">
        <v>915</v>
      </c>
      <c r="J104" s="191"/>
      <c r="K104" s="199"/>
      <c r="L104" s="733"/>
      <c r="M104" s="67"/>
      <c r="N104" s="67"/>
      <c r="O104" s="10"/>
      <c r="P104" s="10"/>
      <c r="Q104" s="10"/>
    </row>
    <row r="105" spans="1:18" ht="15" customHeight="1" x14ac:dyDescent="0.2">
      <c r="A105" s="1"/>
      <c r="B105" s="152" t="s">
        <v>226</v>
      </c>
      <c r="C105" s="180" t="s">
        <v>127</v>
      </c>
      <c r="D105" s="31"/>
      <c r="E105" s="185" t="s">
        <v>127</v>
      </c>
      <c r="F105" s="167"/>
      <c r="G105" s="185" t="s">
        <v>127</v>
      </c>
      <c r="H105" s="167"/>
      <c r="I105" s="114" t="s">
        <v>1311</v>
      </c>
      <c r="J105" s="192"/>
      <c r="K105" s="189"/>
      <c r="L105" s="733"/>
      <c r="M105" s="67"/>
      <c r="N105" s="67"/>
      <c r="O105" s="10"/>
      <c r="P105" s="10"/>
      <c r="Q105" s="10"/>
    </row>
    <row r="106" spans="1:18" ht="12" customHeight="1" x14ac:dyDescent="0.2">
      <c r="A106" s="1"/>
      <c r="B106" s="153" t="s">
        <v>227</v>
      </c>
      <c r="C106" s="182" t="s">
        <v>1420</v>
      </c>
      <c r="D106" s="77"/>
      <c r="E106" s="82" t="s">
        <v>1420</v>
      </c>
      <c r="F106" s="77"/>
      <c r="G106" s="82" t="s">
        <v>1420</v>
      </c>
      <c r="H106" s="144"/>
      <c r="I106" s="113" t="s">
        <v>916</v>
      </c>
      <c r="J106" s="81"/>
      <c r="K106" s="188"/>
      <c r="L106" s="733"/>
      <c r="M106" s="67"/>
      <c r="N106" s="67"/>
      <c r="O106" s="10"/>
      <c r="P106" s="10"/>
      <c r="Q106" s="10"/>
    </row>
    <row r="107" spans="1:18" ht="12" customHeight="1" x14ac:dyDescent="0.2">
      <c r="A107" s="1"/>
      <c r="B107" s="107"/>
      <c r="C107" s="338"/>
      <c r="D107" s="340"/>
      <c r="E107" s="341"/>
      <c r="F107" s="342"/>
      <c r="G107" s="341"/>
      <c r="H107" s="342"/>
      <c r="I107" s="343" t="s">
        <v>917</v>
      </c>
      <c r="J107" s="344"/>
      <c r="K107" s="345"/>
      <c r="L107" s="735"/>
      <c r="M107" s="67"/>
      <c r="N107" s="67"/>
      <c r="O107" s="10"/>
      <c r="P107" s="10"/>
      <c r="Q107" s="10"/>
    </row>
    <row r="108" spans="1:18" s="34" customFormat="1" ht="7.5" customHeight="1" x14ac:dyDescent="0.2">
      <c r="A108" s="1"/>
      <c r="B108" s="346"/>
      <c r="C108" s="339"/>
      <c r="D108" s="347"/>
      <c r="E108" s="347"/>
      <c r="F108" s="348"/>
      <c r="G108" s="348"/>
      <c r="H108" s="348"/>
      <c r="I108" s="348"/>
      <c r="J108" s="348"/>
      <c r="K108" s="349"/>
      <c r="L108" s="736"/>
      <c r="M108" s="67"/>
      <c r="N108" s="67"/>
      <c r="O108" s="60"/>
      <c r="P108" s="60"/>
      <c r="Q108" s="60"/>
      <c r="R108" s="60"/>
    </row>
    <row r="109" spans="1:18" s="34" customFormat="1" ht="7.5" customHeight="1" x14ac:dyDescent="0.2">
      <c r="A109" s="1"/>
      <c r="B109" s="595"/>
      <c r="C109" s="595"/>
      <c r="D109" s="596"/>
      <c r="E109" s="596"/>
      <c r="F109" s="597"/>
      <c r="G109" s="597"/>
      <c r="H109" s="597"/>
      <c r="I109" s="597"/>
      <c r="J109" s="597"/>
      <c r="K109" s="597"/>
      <c r="L109" s="593"/>
      <c r="M109" s="67"/>
      <c r="N109" s="67"/>
      <c r="O109" s="60"/>
      <c r="P109" s="60"/>
      <c r="Q109" s="60"/>
      <c r="R109" s="60"/>
    </row>
    <row r="110" spans="1:18" s="34" customFormat="1" ht="33.75" customHeight="1" thickBot="1" x14ac:dyDescent="0.25">
      <c r="A110" s="1"/>
      <c r="B110" s="450" t="s">
        <v>1382</v>
      </c>
      <c r="C110" s="594"/>
      <c r="D110" s="594"/>
      <c r="E110" s="594"/>
      <c r="F110" s="594"/>
      <c r="G110" s="594"/>
      <c r="H110" s="594"/>
      <c r="I110" s="594"/>
      <c r="J110" s="594"/>
      <c r="K110" s="594"/>
      <c r="L110" s="33"/>
      <c r="M110" s="67"/>
      <c r="N110" s="67"/>
      <c r="O110" s="60"/>
      <c r="P110" s="60"/>
      <c r="Q110" s="60"/>
      <c r="R110" s="60"/>
    </row>
    <row r="111" spans="1:18" s="34" customFormat="1" ht="15" customHeight="1" x14ac:dyDescent="0.2">
      <c r="A111" s="1"/>
      <c r="B111" s="460" t="s">
        <v>535</v>
      </c>
      <c r="C111" s="477" t="s">
        <v>8</v>
      </c>
      <c r="D111" s="577" t="s">
        <v>9</v>
      </c>
      <c r="E111" s="428" t="s">
        <v>10</v>
      </c>
      <c r="F111" s="428"/>
      <c r="G111" s="575"/>
      <c r="H111" s="575"/>
      <c r="I111" s="575"/>
      <c r="J111" s="575"/>
      <c r="K111" s="576"/>
      <c r="L111" s="33"/>
      <c r="M111" s="67"/>
      <c r="N111" s="67"/>
      <c r="O111" s="60"/>
      <c r="P111" s="60"/>
      <c r="Q111" s="60"/>
      <c r="R111" s="60"/>
    </row>
    <row r="112" spans="1:18" s="34" customFormat="1" ht="30" customHeight="1" thickBot="1" x14ac:dyDescent="0.25">
      <c r="A112" s="1"/>
      <c r="B112" s="578" t="s">
        <v>1299</v>
      </c>
      <c r="C112" s="579"/>
      <c r="D112" s="583"/>
      <c r="E112" s="580" t="s">
        <v>1300</v>
      </c>
      <c r="F112" s="581"/>
      <c r="G112" s="581"/>
      <c r="H112" s="581"/>
      <c r="I112" s="581"/>
      <c r="J112" s="581"/>
      <c r="K112" s="582"/>
      <c r="L112" s="33"/>
      <c r="M112" s="67"/>
      <c r="N112" s="67"/>
      <c r="O112" s="60"/>
      <c r="P112" s="60"/>
      <c r="Q112" s="60"/>
      <c r="R112" s="60"/>
    </row>
    <row r="113" spans="1:18" s="34" customFormat="1" ht="33.75" customHeight="1" x14ac:dyDescent="0.2">
      <c r="A113" s="296"/>
      <c r="B113" s="1974" t="s">
        <v>1197</v>
      </c>
      <c r="C113" s="1975"/>
      <c r="D113" s="690">
        <f>Опц_ЧИ_ИБ</f>
        <v>11200</v>
      </c>
      <c r="E113" s="1971" t="s">
        <v>1101</v>
      </c>
      <c r="F113" s="1978"/>
      <c r="G113" s="1978"/>
      <c r="H113" s="1978"/>
      <c r="I113" s="1978"/>
      <c r="J113" s="1978"/>
      <c r="K113" s="1979"/>
      <c r="L113" s="33"/>
      <c r="M113" s="67"/>
      <c r="N113" s="67"/>
      <c r="O113" s="60"/>
      <c r="P113" s="60"/>
      <c r="Q113" s="60"/>
      <c r="R113" s="60"/>
    </row>
    <row r="114" spans="1:18" s="34" customFormat="1" ht="33.75" customHeight="1" x14ac:dyDescent="0.2">
      <c r="A114" s="296"/>
      <c r="B114" s="1976" t="s">
        <v>1196</v>
      </c>
      <c r="C114" s="1977"/>
      <c r="D114" s="691">
        <f>Опц_42_ИБ</f>
        <v>11200</v>
      </c>
      <c r="E114" s="1980" t="s">
        <v>1103</v>
      </c>
      <c r="F114" s="1822"/>
      <c r="G114" s="1822"/>
      <c r="H114" s="1822"/>
      <c r="I114" s="1822"/>
      <c r="J114" s="1822"/>
      <c r="K114" s="1981"/>
      <c r="L114" s="33"/>
      <c r="M114" s="67"/>
      <c r="N114" s="67"/>
      <c r="O114" s="60"/>
      <c r="P114" s="60"/>
      <c r="Q114" s="60"/>
      <c r="R114" s="60"/>
    </row>
    <row r="115" spans="1:18" s="34" customFormat="1" ht="33.75" customHeight="1" x14ac:dyDescent="0.2">
      <c r="A115" s="296"/>
      <c r="B115" s="1956" t="s">
        <v>1195</v>
      </c>
      <c r="C115" s="1957"/>
      <c r="D115" s="691">
        <f>Опц_ЧИ42_ИБ</f>
        <v>22400</v>
      </c>
      <c r="E115" s="1980" t="s">
        <v>1104</v>
      </c>
      <c r="F115" s="1822"/>
      <c r="G115" s="1822"/>
      <c r="H115" s="1822"/>
      <c r="I115" s="1822"/>
      <c r="J115" s="1822"/>
      <c r="K115" s="1981"/>
      <c r="L115" s="33"/>
      <c r="M115" s="67"/>
      <c r="N115" s="67"/>
      <c r="O115" s="60"/>
      <c r="P115" s="60"/>
      <c r="Q115" s="60"/>
      <c r="R115" s="60"/>
    </row>
    <row r="116" spans="1:18" s="34" customFormat="1" ht="33.75" customHeight="1" x14ac:dyDescent="0.2">
      <c r="A116" s="2"/>
      <c r="B116" s="1984" t="s">
        <v>546</v>
      </c>
      <c r="C116" s="1977"/>
      <c r="D116" s="692">
        <f>Опц_ИБП_ИБ</f>
        <v>18200</v>
      </c>
      <c r="E116" s="1980" t="s">
        <v>1105</v>
      </c>
      <c r="F116" s="1822"/>
      <c r="G116" s="1822"/>
      <c r="H116" s="1822"/>
      <c r="I116" s="1822"/>
      <c r="J116" s="1822"/>
      <c r="K116" s="1981"/>
      <c r="L116" s="33"/>
      <c r="M116" s="67"/>
      <c r="N116" s="67"/>
      <c r="O116" s="60"/>
      <c r="P116" s="60"/>
      <c r="Q116" s="60"/>
      <c r="R116" s="60"/>
    </row>
    <row r="117" spans="1:18" s="34" customFormat="1" ht="33.75" customHeight="1" thickBot="1" x14ac:dyDescent="0.25">
      <c r="A117" s="296"/>
      <c r="B117" s="1958" t="s">
        <v>740</v>
      </c>
      <c r="C117" s="1959"/>
      <c r="D117" s="696" t="str">
        <f>Опц_нестандарт</f>
        <v>14000 /луч</v>
      </c>
      <c r="E117" s="1982" t="s">
        <v>1439</v>
      </c>
      <c r="F117" s="1846"/>
      <c r="G117" s="1846"/>
      <c r="H117" s="1846"/>
      <c r="I117" s="1846"/>
      <c r="J117" s="1846"/>
      <c r="K117" s="1983"/>
      <c r="L117" s="33"/>
      <c r="M117" s="67"/>
      <c r="N117" s="67"/>
      <c r="O117" s="60"/>
      <c r="P117" s="60"/>
      <c r="Q117" s="60"/>
      <c r="R117" s="60"/>
    </row>
    <row r="118" spans="1:18" s="34" customFormat="1" ht="26.25" customHeight="1" thickBot="1" x14ac:dyDescent="0.25">
      <c r="A118" s="1"/>
      <c r="B118" s="1964" t="s">
        <v>1084</v>
      </c>
      <c r="C118" s="1965"/>
      <c r="D118" s="295"/>
      <c r="E118" s="1968" t="s">
        <v>572</v>
      </c>
      <c r="F118" s="1969"/>
      <c r="G118" s="1969"/>
      <c r="H118" s="1969"/>
      <c r="I118" s="1969"/>
      <c r="J118" s="1969"/>
      <c r="K118" s="1970"/>
      <c r="L118" s="33"/>
      <c r="M118" s="67"/>
      <c r="N118" s="67"/>
      <c r="O118" s="60"/>
      <c r="P118" s="60"/>
      <c r="Q118" s="60"/>
      <c r="R118" s="60"/>
    </row>
    <row r="119" spans="1:18" s="34" customFormat="1" ht="28.5" customHeight="1" x14ac:dyDescent="0.2">
      <c r="A119" s="296"/>
      <c r="B119" s="1966" t="s">
        <v>1194</v>
      </c>
      <c r="C119" s="1967"/>
      <c r="D119" s="693" t="str">
        <f>Опц_IP68</f>
        <v>8400 /луч</v>
      </c>
      <c r="E119" s="1971" t="s">
        <v>735</v>
      </c>
      <c r="F119" s="1972"/>
      <c r="G119" s="1972"/>
      <c r="H119" s="1972"/>
      <c r="I119" s="1972"/>
      <c r="J119" s="1972"/>
      <c r="K119" s="1973"/>
      <c r="L119" s="33"/>
      <c r="M119" s="67"/>
      <c r="N119" s="67"/>
      <c r="O119" s="60"/>
      <c r="P119" s="60"/>
      <c r="Q119" s="60"/>
      <c r="R119" s="60"/>
    </row>
    <row r="120" spans="1:18" s="34" customFormat="1" ht="28.5" customHeight="1" x14ac:dyDescent="0.2">
      <c r="A120" s="296"/>
      <c r="B120" s="1976" t="s">
        <v>1193</v>
      </c>
      <c r="C120" s="1987"/>
      <c r="D120" s="694" t="str">
        <f>Опц_ПЭПУ</f>
        <v>2800 /луч</v>
      </c>
      <c r="E120" s="1980" t="s">
        <v>360</v>
      </c>
      <c r="F120" s="1822"/>
      <c r="G120" s="1822"/>
      <c r="H120" s="1822"/>
      <c r="I120" s="1822"/>
      <c r="J120" s="1822"/>
      <c r="K120" s="1981"/>
      <c r="L120" s="33"/>
      <c r="M120" s="67"/>
      <c r="N120" s="67"/>
      <c r="O120" s="60"/>
      <c r="P120" s="60"/>
      <c r="Q120" s="60"/>
      <c r="R120" s="60"/>
    </row>
    <row r="121" spans="1:18" s="34" customFormat="1" ht="28.5" customHeight="1" x14ac:dyDescent="0.2">
      <c r="A121" s="296"/>
      <c r="B121" s="1834" t="s">
        <v>379</v>
      </c>
      <c r="C121" s="1988"/>
      <c r="D121" s="693" t="str">
        <f>Опц_IP68У</f>
        <v>11200 /луч</v>
      </c>
      <c r="E121" s="1997" t="s">
        <v>368</v>
      </c>
      <c r="F121" s="1998"/>
      <c r="G121" s="1998"/>
      <c r="H121" s="1998"/>
      <c r="I121" s="1998"/>
      <c r="J121" s="1998"/>
      <c r="K121" s="1999"/>
      <c r="L121" s="33"/>
      <c r="M121" s="67"/>
      <c r="N121" s="67"/>
      <c r="O121" s="60"/>
      <c r="P121" s="60"/>
      <c r="Q121" s="60"/>
      <c r="R121" s="60"/>
    </row>
    <row r="122" spans="1:18" s="34" customFormat="1" ht="28.5" customHeight="1" x14ac:dyDescent="0.2">
      <c r="A122" s="296"/>
      <c r="B122" s="1958" t="s">
        <v>550</v>
      </c>
      <c r="C122" s="1959"/>
      <c r="D122" s="693" t="str">
        <f>Опц_200</f>
        <v>16800 /луч</v>
      </c>
      <c r="E122" s="1980" t="s">
        <v>736</v>
      </c>
      <c r="F122" s="1822"/>
      <c r="G122" s="1822"/>
      <c r="H122" s="1822"/>
      <c r="I122" s="1822"/>
      <c r="J122" s="1822"/>
      <c r="K122" s="1981"/>
      <c r="L122" s="33"/>
      <c r="M122" s="67"/>
      <c r="N122" s="67"/>
      <c r="O122" s="60"/>
      <c r="P122" s="60"/>
      <c r="Q122" s="60"/>
      <c r="R122" s="60"/>
    </row>
    <row r="123" spans="1:18" s="34" customFormat="1" ht="28.5" customHeight="1" x14ac:dyDescent="0.2">
      <c r="A123" s="296"/>
      <c r="B123" s="1958" t="s">
        <v>738</v>
      </c>
      <c r="C123" s="1959"/>
      <c r="D123" s="693" t="str">
        <f>Опц_200_68</f>
        <v>28000 /луч</v>
      </c>
      <c r="E123" s="1980" t="s">
        <v>739</v>
      </c>
      <c r="F123" s="1822"/>
      <c r="G123" s="1822"/>
      <c r="H123" s="1822"/>
      <c r="I123" s="1822"/>
      <c r="J123" s="1822"/>
      <c r="K123" s="1981"/>
      <c r="L123" s="33"/>
      <c r="M123" s="67"/>
      <c r="N123" s="67"/>
      <c r="O123" s="60"/>
      <c r="P123" s="60"/>
      <c r="Q123" s="60"/>
      <c r="R123" s="60"/>
    </row>
    <row r="124" spans="1:18" s="34" customFormat="1" ht="28.5" customHeight="1" x14ac:dyDescent="0.2">
      <c r="A124" s="296"/>
      <c r="B124" s="1989" t="s">
        <v>549</v>
      </c>
      <c r="C124" s="1959"/>
      <c r="D124" s="693" t="str">
        <f>Опц_ПП212</f>
        <v>16800 /луч</v>
      </c>
      <c r="E124" s="1980" t="s">
        <v>369</v>
      </c>
      <c r="F124" s="1822"/>
      <c r="G124" s="1822"/>
      <c r="H124" s="1822"/>
      <c r="I124" s="1822"/>
      <c r="J124" s="1822"/>
      <c r="K124" s="1981"/>
      <c r="L124" s="33"/>
      <c r="M124" s="67"/>
      <c r="N124" s="67"/>
      <c r="O124" s="60"/>
      <c r="P124" s="60"/>
      <c r="Q124" s="60"/>
      <c r="R124" s="60"/>
    </row>
    <row r="125" spans="1:18" s="34" customFormat="1" ht="28.5" customHeight="1" x14ac:dyDescent="0.2">
      <c r="A125" s="296"/>
      <c r="B125" s="1989" t="s">
        <v>737</v>
      </c>
      <c r="C125" s="1959"/>
      <c r="D125" s="693" t="str">
        <f>Опц_ПП212_68</f>
        <v>28000 /луч</v>
      </c>
      <c r="E125" s="1980" t="s">
        <v>370</v>
      </c>
      <c r="F125" s="1822"/>
      <c r="G125" s="1822"/>
      <c r="H125" s="1822"/>
      <c r="I125" s="1822"/>
      <c r="J125" s="1822"/>
      <c r="K125" s="1981"/>
      <c r="L125" s="33"/>
      <c r="M125" s="67"/>
      <c r="N125" s="67"/>
      <c r="O125" s="60"/>
      <c r="P125" s="60"/>
      <c r="Q125" s="60"/>
      <c r="R125" s="60"/>
    </row>
    <row r="126" spans="1:18" s="34" customFormat="1" ht="28.5" customHeight="1" x14ac:dyDescent="0.2">
      <c r="A126" s="296"/>
      <c r="B126" s="1834" t="s">
        <v>548</v>
      </c>
      <c r="C126" s="1988"/>
      <c r="D126" s="694" t="str">
        <f>Опц_ШК</f>
        <v>21000 /луч</v>
      </c>
      <c r="E126" s="1980" t="s">
        <v>88</v>
      </c>
      <c r="F126" s="1822"/>
      <c r="G126" s="1822"/>
      <c r="H126" s="1822"/>
      <c r="I126" s="1822"/>
      <c r="J126" s="1822"/>
      <c r="K126" s="1981"/>
      <c r="L126" s="33"/>
      <c r="M126" s="67"/>
      <c r="N126" s="67"/>
      <c r="O126" s="60"/>
      <c r="P126" s="60"/>
      <c r="Q126" s="60"/>
      <c r="R126" s="60"/>
    </row>
    <row r="127" spans="1:18" s="34" customFormat="1" ht="28.5" customHeight="1" x14ac:dyDescent="0.2">
      <c r="A127" s="296"/>
      <c r="B127" s="1958" t="s">
        <v>671</v>
      </c>
      <c r="C127" s="1959"/>
      <c r="D127" s="695" t="str">
        <f>Опц_давлен</f>
        <v>по запросу</v>
      </c>
      <c r="E127" s="1980" t="s">
        <v>1106</v>
      </c>
      <c r="F127" s="1822"/>
      <c r="G127" s="1822"/>
      <c r="H127" s="1822"/>
      <c r="I127" s="1822"/>
      <c r="J127" s="1822"/>
      <c r="K127" s="1981"/>
      <c r="L127" s="33"/>
      <c r="M127" s="67"/>
      <c r="N127" s="67"/>
      <c r="O127" s="60"/>
      <c r="P127" s="60"/>
      <c r="Q127" s="60"/>
      <c r="R127" s="60"/>
    </row>
    <row r="128" spans="1:18" s="34" customFormat="1" ht="28.5" customHeight="1" thickBot="1" x14ac:dyDescent="0.25">
      <c r="A128" s="1100"/>
      <c r="B128" s="1985" t="s">
        <v>547</v>
      </c>
      <c r="C128" s="1986"/>
      <c r="D128" s="699" t="str">
        <f>Опц_поверкаR</f>
        <v>7000 /луч</v>
      </c>
      <c r="E128" s="1994" t="s">
        <v>672</v>
      </c>
      <c r="F128" s="1995"/>
      <c r="G128" s="1995"/>
      <c r="H128" s="1995"/>
      <c r="I128" s="1995"/>
      <c r="J128" s="1995"/>
      <c r="K128" s="1996"/>
      <c r="L128" s="33"/>
      <c r="M128" s="67"/>
      <c r="N128" s="67"/>
      <c r="O128" s="60"/>
      <c r="P128" s="60"/>
      <c r="Q128" s="60"/>
      <c r="R128" s="60"/>
    </row>
    <row r="129" spans="1:18" s="34" customFormat="1" ht="7.5" customHeight="1" x14ac:dyDescent="0.2">
      <c r="A129" s="1"/>
      <c r="B129" s="588"/>
      <c r="C129" s="589"/>
      <c r="D129" s="466"/>
      <c r="E129" s="590"/>
      <c r="F129" s="591"/>
      <c r="G129" s="591"/>
      <c r="H129" s="591"/>
      <c r="I129" s="591"/>
      <c r="J129" s="591"/>
      <c r="K129" s="591"/>
      <c r="L129" s="33"/>
      <c r="M129" s="67"/>
      <c r="N129" s="67"/>
      <c r="O129" s="60"/>
      <c r="P129" s="60"/>
      <c r="Q129" s="60"/>
      <c r="R129" s="60"/>
    </row>
    <row r="130" spans="1:18" s="34" customFormat="1" ht="34.5" customHeight="1" thickBot="1" x14ac:dyDescent="0.25">
      <c r="A130" s="2"/>
      <c r="B130" s="2000" t="s">
        <v>652</v>
      </c>
      <c r="C130" s="2001"/>
      <c r="D130" s="2001"/>
      <c r="E130" s="2001"/>
      <c r="F130" s="2001"/>
      <c r="G130" s="2001"/>
      <c r="H130" s="2001"/>
      <c r="I130" s="2001"/>
      <c r="J130" s="2001"/>
      <c r="K130" s="2001"/>
      <c r="L130" s="33"/>
      <c r="M130" s="67"/>
      <c r="N130" s="67"/>
      <c r="O130" s="60"/>
      <c r="P130" s="60"/>
      <c r="Q130" s="60"/>
      <c r="R130" s="60"/>
    </row>
    <row r="131" spans="1:18" s="34" customFormat="1" ht="15" customHeight="1" thickBot="1" x14ac:dyDescent="0.25">
      <c r="A131" s="2"/>
      <c r="B131" s="460" t="s">
        <v>535</v>
      </c>
      <c r="C131" s="477" t="s">
        <v>8</v>
      </c>
      <c r="D131" s="577" t="s">
        <v>9</v>
      </c>
      <c r="E131" s="428" t="s">
        <v>10</v>
      </c>
      <c r="F131" s="428"/>
      <c r="G131" s="575"/>
      <c r="H131" s="575"/>
      <c r="I131" s="575"/>
      <c r="J131" s="575"/>
      <c r="K131" s="576"/>
      <c r="L131" s="33"/>
      <c r="M131" s="67"/>
      <c r="N131" s="67"/>
      <c r="O131" s="60"/>
      <c r="P131" s="60"/>
      <c r="Q131" s="60"/>
      <c r="R131" s="60"/>
    </row>
    <row r="132" spans="1:18" s="34" customFormat="1" ht="45" customHeight="1" x14ac:dyDescent="0.2">
      <c r="A132" s="1"/>
      <c r="B132" s="2002" t="s">
        <v>1099</v>
      </c>
      <c r="C132" s="2003"/>
      <c r="D132" s="697">
        <f>Модем_RS485</f>
        <v>10800</v>
      </c>
      <c r="E132" s="2009" t="s">
        <v>23</v>
      </c>
      <c r="F132" s="2010"/>
      <c r="G132" s="2010"/>
      <c r="H132" s="2010"/>
      <c r="I132" s="2010"/>
      <c r="J132" s="2011"/>
      <c r="K132" s="656"/>
      <c r="L132" s="33"/>
      <c r="M132" s="67"/>
      <c r="N132" s="67"/>
      <c r="O132" s="60"/>
      <c r="P132" s="60"/>
      <c r="Q132" s="60"/>
      <c r="R132" s="60"/>
    </row>
    <row r="133" spans="1:18" s="34" customFormat="1" ht="45" customHeight="1" x14ac:dyDescent="0.2">
      <c r="A133" s="1"/>
      <c r="B133" s="1990" t="s">
        <v>914</v>
      </c>
      <c r="C133" s="1991"/>
      <c r="D133" s="694">
        <f>Модем_USB</f>
        <v>10800</v>
      </c>
      <c r="E133" s="2006" t="s">
        <v>688</v>
      </c>
      <c r="F133" s="2007"/>
      <c r="G133" s="2007"/>
      <c r="H133" s="2007"/>
      <c r="I133" s="2007"/>
      <c r="J133" s="2008"/>
      <c r="K133" s="657"/>
      <c r="L133" s="33"/>
      <c r="M133" s="67"/>
      <c r="N133" s="67"/>
      <c r="O133" s="60"/>
      <c r="P133" s="60"/>
      <c r="Q133" s="60"/>
      <c r="R133" s="60"/>
    </row>
    <row r="134" spans="1:18" s="34" customFormat="1" ht="45" customHeight="1" x14ac:dyDescent="0.2">
      <c r="A134" s="1"/>
      <c r="B134" s="1990" t="s">
        <v>1225</v>
      </c>
      <c r="C134" s="1991"/>
      <c r="D134" s="698">
        <f>GPRS_терм</f>
        <v>25200</v>
      </c>
      <c r="E134" s="2006" t="s">
        <v>1226</v>
      </c>
      <c r="F134" s="2007"/>
      <c r="G134" s="2007"/>
      <c r="H134" s="2007"/>
      <c r="I134" s="2007"/>
      <c r="J134" s="2008"/>
      <c r="K134" s="657"/>
      <c r="L134" s="33"/>
      <c r="M134" s="67"/>
      <c r="N134" s="67"/>
      <c r="O134" s="60"/>
      <c r="P134" s="60"/>
      <c r="Q134" s="60"/>
      <c r="R134" s="60"/>
    </row>
    <row r="135" spans="1:18" s="34" customFormat="1" ht="45" customHeight="1" x14ac:dyDescent="0.2">
      <c r="A135" s="1"/>
      <c r="B135" s="1990" t="s">
        <v>161</v>
      </c>
      <c r="C135" s="1991"/>
      <c r="D135" s="696">
        <f>Конверт_RS232</f>
        <v>10800</v>
      </c>
      <c r="E135" s="2006" t="s">
        <v>452</v>
      </c>
      <c r="F135" s="2007"/>
      <c r="G135" s="2007"/>
      <c r="H135" s="2007"/>
      <c r="I135" s="2007"/>
      <c r="J135" s="2008"/>
      <c r="K135" s="657"/>
      <c r="L135" s="33"/>
      <c r="M135" s="67"/>
      <c r="N135" s="67"/>
      <c r="O135" s="60"/>
      <c r="P135" s="60"/>
      <c r="Q135" s="60"/>
      <c r="R135" s="60"/>
    </row>
    <row r="136" spans="1:18" s="34" customFormat="1" ht="45" customHeight="1" x14ac:dyDescent="0.2">
      <c r="A136" s="1"/>
      <c r="B136" s="1990" t="s">
        <v>162</v>
      </c>
      <c r="C136" s="1991"/>
      <c r="D136" s="694">
        <f>Конверт_USB</f>
        <v>14400</v>
      </c>
      <c r="E136" s="2006" t="s">
        <v>22</v>
      </c>
      <c r="F136" s="2007"/>
      <c r="G136" s="2007"/>
      <c r="H136" s="2007"/>
      <c r="I136" s="2007"/>
      <c r="J136" s="2008"/>
      <c r="K136" s="657"/>
      <c r="L136" s="33"/>
      <c r="M136" s="67"/>
      <c r="N136" s="67"/>
      <c r="O136" s="60"/>
      <c r="P136" s="60"/>
      <c r="Q136" s="60"/>
      <c r="R136" s="60"/>
    </row>
    <row r="137" spans="1:18" s="34" customFormat="1" ht="45" customHeight="1" x14ac:dyDescent="0.2">
      <c r="A137" s="1"/>
      <c r="B137" s="1990" t="s">
        <v>471</v>
      </c>
      <c r="C137" s="1991"/>
      <c r="D137" s="694">
        <f>Конверт_Ethernet</f>
        <v>21600</v>
      </c>
      <c r="E137" s="2006" t="s">
        <v>689</v>
      </c>
      <c r="F137" s="2007"/>
      <c r="G137" s="2007"/>
      <c r="H137" s="2007"/>
      <c r="I137" s="2007"/>
      <c r="J137" s="2008"/>
      <c r="K137" s="657"/>
      <c r="L137" s="33"/>
      <c r="M137" s="67"/>
      <c r="N137" s="67"/>
      <c r="O137" s="60"/>
      <c r="P137" s="60"/>
      <c r="Q137" s="60"/>
      <c r="R137" s="60"/>
    </row>
    <row r="138" spans="1:18" s="34" customFormat="1" ht="45" customHeight="1" x14ac:dyDescent="0.2">
      <c r="A138" s="1"/>
      <c r="B138" s="1990" t="s">
        <v>715</v>
      </c>
      <c r="C138" s="1991"/>
      <c r="D138" s="694">
        <f>Нетбук</f>
        <v>42000</v>
      </c>
      <c r="E138" s="2006" t="s">
        <v>324</v>
      </c>
      <c r="F138" s="2007"/>
      <c r="G138" s="2007"/>
      <c r="H138" s="2007"/>
      <c r="I138" s="2007"/>
      <c r="J138" s="2008"/>
      <c r="K138" s="657"/>
      <c r="L138" s="33"/>
      <c r="M138" s="67"/>
      <c r="N138" s="67"/>
      <c r="O138" s="60"/>
      <c r="P138" s="60"/>
      <c r="Q138" s="60"/>
      <c r="R138" s="60"/>
    </row>
    <row r="139" spans="1:18" s="34" customFormat="1" ht="45" customHeight="1" x14ac:dyDescent="0.2">
      <c r="A139" s="1"/>
      <c r="B139" s="1990" t="s">
        <v>1086</v>
      </c>
      <c r="C139" s="1991"/>
      <c r="D139" s="694">
        <f>Шкаф_необогр</f>
        <v>28000</v>
      </c>
      <c r="E139" s="1980" t="s">
        <v>378</v>
      </c>
      <c r="F139" s="2007"/>
      <c r="G139" s="2007"/>
      <c r="H139" s="2007"/>
      <c r="I139" s="2007"/>
      <c r="J139" s="2007"/>
      <c r="K139" s="659"/>
      <c r="L139" s="33"/>
      <c r="M139" s="67"/>
      <c r="N139" s="67"/>
      <c r="O139" s="60"/>
      <c r="P139" s="60"/>
      <c r="Q139" s="60"/>
      <c r="R139" s="60"/>
    </row>
    <row r="140" spans="1:18" s="34" customFormat="1" ht="45" customHeight="1" thickBot="1" x14ac:dyDescent="0.25">
      <c r="A140" s="1"/>
      <c r="B140" s="1992" t="s">
        <v>1087</v>
      </c>
      <c r="C140" s="1993"/>
      <c r="D140" s="699">
        <f>Шкаф_обогр</f>
        <v>49000</v>
      </c>
      <c r="E140" s="1994" t="s">
        <v>377</v>
      </c>
      <c r="F140" s="2004"/>
      <c r="G140" s="2004"/>
      <c r="H140" s="2004"/>
      <c r="I140" s="2004"/>
      <c r="J140" s="2005"/>
      <c r="K140" s="658"/>
      <c r="L140" s="33"/>
      <c r="M140" s="67"/>
      <c r="N140" s="67"/>
      <c r="O140" s="60"/>
      <c r="P140" s="60"/>
      <c r="Q140" s="60"/>
      <c r="R140" s="60"/>
    </row>
    <row r="141" spans="1:18" ht="7.5" customHeight="1" x14ac:dyDescent="0.2">
      <c r="A141" s="1"/>
      <c r="B141" s="346"/>
      <c r="C141" s="339"/>
      <c r="D141" s="347"/>
      <c r="E141" s="347"/>
      <c r="F141" s="348"/>
      <c r="G141" s="348"/>
      <c r="H141" s="348"/>
      <c r="I141" s="348"/>
      <c r="J141" s="348"/>
      <c r="K141" s="348"/>
      <c r="L141" s="33"/>
      <c r="M141" s="10"/>
      <c r="N141" s="10"/>
      <c r="O141" s="10"/>
      <c r="P141" s="10"/>
      <c r="Q141" s="10"/>
    </row>
    <row r="142" spans="1:18" ht="13.5" thickBot="1" x14ac:dyDescent="0.25">
      <c r="A142" s="1"/>
      <c r="B142" s="592"/>
      <c r="C142" s="350"/>
      <c r="D142" s="574"/>
      <c r="E142" s="351"/>
      <c r="F142" s="351"/>
      <c r="G142" s="351"/>
      <c r="H142" s="351"/>
      <c r="I142" s="351"/>
      <c r="J142" s="351"/>
      <c r="K142" s="350"/>
      <c r="L142" s="11"/>
      <c r="M142" s="10"/>
      <c r="N142" s="10"/>
      <c r="O142" s="10"/>
      <c r="P142" s="10"/>
      <c r="Q142" s="10"/>
    </row>
    <row r="143" spans="1:18" ht="15.75" x14ac:dyDescent="0.25">
      <c r="A143" s="1"/>
      <c r="B143" s="40" t="s">
        <v>150</v>
      </c>
      <c r="C143" s="35"/>
      <c r="D143" s="35"/>
      <c r="E143" s="35"/>
      <c r="F143" s="35"/>
      <c r="G143" s="35"/>
      <c r="H143" s="35"/>
      <c r="I143" s="35"/>
      <c r="J143" s="35"/>
      <c r="K143" s="36"/>
      <c r="L143" s="2"/>
      <c r="M143" s="10"/>
      <c r="N143" s="10"/>
      <c r="O143" s="10"/>
      <c r="P143" s="10"/>
      <c r="Q143" s="10"/>
      <c r="R143" s="10"/>
    </row>
    <row r="144" spans="1:18" ht="13.5" thickBot="1" x14ac:dyDescent="0.25">
      <c r="A144" s="1"/>
      <c r="B144" s="37"/>
      <c r="C144" s="38"/>
      <c r="D144" s="38"/>
      <c r="E144" s="38"/>
      <c r="F144" s="38"/>
      <c r="G144" s="38"/>
      <c r="H144" s="38"/>
      <c r="I144" s="38"/>
      <c r="J144" s="38"/>
      <c r="K144" s="39"/>
      <c r="L144" s="2"/>
      <c r="M144" s="10"/>
      <c r="N144" s="10"/>
      <c r="O144" s="10"/>
      <c r="P144" s="10"/>
      <c r="Q144" s="10"/>
      <c r="R144" s="10"/>
    </row>
    <row r="145" spans="1:18" x14ac:dyDescent="0.2">
      <c r="A145" s="1"/>
      <c r="B145" s="53"/>
      <c r="C145" s="42"/>
      <c r="D145" s="42"/>
      <c r="E145" s="47"/>
      <c r="F145" s="47"/>
      <c r="G145" s="47"/>
      <c r="H145" s="45"/>
      <c r="I145" s="45"/>
      <c r="J145" s="45"/>
      <c r="K145" s="205"/>
      <c r="L145" s="11"/>
      <c r="M145" s="10"/>
      <c r="N145" s="10"/>
      <c r="O145" s="10"/>
      <c r="P145" s="10"/>
      <c r="Q145" s="10"/>
      <c r="R145" s="10"/>
    </row>
    <row r="146" spans="1:18" x14ac:dyDescent="0.2">
      <c r="A146" s="1"/>
      <c r="B146" s="51"/>
      <c r="C146" s="5"/>
      <c r="D146" s="5"/>
      <c r="E146" s="9"/>
      <c r="F146" s="9"/>
      <c r="G146" s="9"/>
      <c r="H146" s="6"/>
      <c r="I146" s="6"/>
      <c r="J146" s="6"/>
      <c r="K146" s="157"/>
      <c r="L146" s="14"/>
      <c r="M146" s="10"/>
      <c r="N146" s="10"/>
      <c r="O146" s="10"/>
      <c r="P146" s="10"/>
      <c r="Q146" s="10"/>
      <c r="R146" s="10"/>
    </row>
    <row r="147" spans="1:18" x14ac:dyDescent="0.2">
      <c r="A147" s="1"/>
      <c r="B147" s="51"/>
      <c r="C147" s="5"/>
      <c r="D147" s="5"/>
      <c r="E147" s="9"/>
      <c r="F147" s="9"/>
      <c r="G147" s="9"/>
      <c r="H147" s="6"/>
      <c r="I147" s="6"/>
      <c r="J147" s="6"/>
      <c r="K147" s="43"/>
      <c r="L147" s="14"/>
      <c r="M147" s="10"/>
      <c r="N147" s="10"/>
      <c r="O147" s="10"/>
      <c r="P147" s="10"/>
      <c r="Q147" s="10"/>
      <c r="R147" s="10"/>
    </row>
    <row r="148" spans="1:18" x14ac:dyDescent="0.2">
      <c r="A148" s="1"/>
      <c r="B148" s="51"/>
      <c r="C148" s="5"/>
      <c r="D148" s="5"/>
      <c r="E148" s="9"/>
      <c r="F148" s="9"/>
      <c r="G148" s="9"/>
      <c r="H148" s="5"/>
      <c r="I148" s="5"/>
      <c r="J148" s="5"/>
      <c r="K148" s="43"/>
      <c r="L148" s="14"/>
      <c r="M148" s="10"/>
      <c r="N148" s="10"/>
      <c r="O148" s="10"/>
      <c r="P148" s="10"/>
      <c r="Q148" s="10"/>
      <c r="R148" s="10"/>
    </row>
    <row r="149" spans="1:18" x14ac:dyDescent="0.2">
      <c r="A149" s="1"/>
      <c r="B149" s="51"/>
      <c r="C149" s="5"/>
      <c r="D149" s="5"/>
      <c r="E149" s="9"/>
      <c r="F149" s="9"/>
      <c r="G149" s="9"/>
      <c r="H149" s="6"/>
      <c r="I149" s="8"/>
      <c r="J149" s="8"/>
      <c r="K149" s="44"/>
      <c r="L149" s="14"/>
      <c r="M149" s="10"/>
      <c r="N149" s="10"/>
      <c r="O149" s="10"/>
      <c r="P149" s="10"/>
      <c r="Q149" s="10"/>
      <c r="R149" s="10"/>
    </row>
    <row r="150" spans="1:18" x14ac:dyDescent="0.2">
      <c r="A150" s="1"/>
      <c r="B150" s="51"/>
      <c r="C150" s="6"/>
      <c r="D150" s="5"/>
      <c r="E150" s="9"/>
      <c r="F150" s="9"/>
      <c r="G150" s="9"/>
      <c r="H150" s="6"/>
      <c r="I150" s="8"/>
      <c r="J150" s="9"/>
      <c r="K150" s="44"/>
      <c r="L150" s="14"/>
      <c r="M150" s="10"/>
      <c r="N150" s="10"/>
      <c r="O150" s="10"/>
      <c r="P150" s="10"/>
      <c r="Q150" s="10"/>
      <c r="R150" s="10"/>
    </row>
    <row r="151" spans="1:18" x14ac:dyDescent="0.2">
      <c r="A151" s="1"/>
      <c r="B151" s="51"/>
      <c r="C151" s="5"/>
      <c r="D151" s="5"/>
      <c r="E151" s="9"/>
      <c r="F151" s="9"/>
      <c r="G151" s="9"/>
      <c r="H151" s="6"/>
      <c r="I151" s="8"/>
      <c r="J151" s="9"/>
      <c r="K151" s="43"/>
      <c r="L151" s="14"/>
      <c r="M151" s="10"/>
      <c r="N151" s="10"/>
      <c r="O151" s="10"/>
      <c r="P151" s="10"/>
      <c r="Q151" s="10"/>
      <c r="R151" s="10"/>
    </row>
    <row r="152" spans="1:18" x14ac:dyDescent="0.2">
      <c r="A152" s="1"/>
      <c r="B152" s="51"/>
      <c r="C152" s="5"/>
      <c r="D152" s="5"/>
      <c r="E152" s="9"/>
      <c r="F152" s="9"/>
      <c r="G152" s="8"/>
      <c r="H152" s="6"/>
      <c r="I152" s="3"/>
      <c r="J152" s="3"/>
      <c r="K152" s="43"/>
      <c r="L152" s="14"/>
      <c r="M152" s="10"/>
      <c r="N152" s="10"/>
      <c r="O152" s="10"/>
      <c r="P152" s="10"/>
      <c r="Q152" s="10"/>
      <c r="R152" s="10"/>
    </row>
    <row r="153" spans="1:18" x14ac:dyDescent="0.2">
      <c r="A153" s="1"/>
      <c r="B153" s="51"/>
      <c r="C153" s="5"/>
      <c r="D153" s="6"/>
      <c r="E153" s="9"/>
      <c r="F153" s="9"/>
      <c r="G153" s="9"/>
      <c r="H153" s="6"/>
      <c r="I153" s="8"/>
      <c r="J153" s="6"/>
      <c r="K153" s="43"/>
      <c r="L153" s="14"/>
      <c r="M153" s="10"/>
      <c r="N153" s="10"/>
      <c r="O153" s="10"/>
      <c r="P153" s="10"/>
      <c r="Q153" s="10"/>
      <c r="R153" s="10"/>
    </row>
    <row r="154" spans="1:18" x14ac:dyDescent="0.2">
      <c r="A154" s="1"/>
      <c r="B154" s="51"/>
      <c r="C154" s="5"/>
      <c r="D154" s="5"/>
      <c r="E154" s="9"/>
      <c r="F154" s="9"/>
      <c r="G154" s="9"/>
      <c r="H154" s="6"/>
      <c r="I154" s="9"/>
      <c r="J154" s="5"/>
      <c r="K154" s="43"/>
      <c r="L154" s="14"/>
      <c r="M154" s="10"/>
      <c r="N154" s="10"/>
      <c r="O154" s="10"/>
      <c r="P154" s="10"/>
      <c r="Q154" s="10"/>
      <c r="R154" s="10"/>
    </row>
    <row r="155" spans="1:18" x14ac:dyDescent="0.2">
      <c r="A155" s="1"/>
      <c r="B155" s="51"/>
      <c r="C155" s="6"/>
      <c r="D155" s="5"/>
      <c r="E155" s="9"/>
      <c r="F155" s="9"/>
      <c r="G155" s="9"/>
      <c r="H155" s="6"/>
      <c r="I155" s="8"/>
      <c r="J155" s="6"/>
      <c r="K155" s="43"/>
      <c r="L155" s="14"/>
      <c r="M155" s="10"/>
      <c r="N155" s="10"/>
      <c r="O155" s="10"/>
      <c r="P155" s="10"/>
      <c r="Q155" s="10"/>
      <c r="R155" s="10"/>
    </row>
    <row r="156" spans="1:18" x14ac:dyDescent="0.2">
      <c r="A156" s="1"/>
      <c r="B156" s="48"/>
      <c r="C156" s="5"/>
      <c r="D156" s="5"/>
      <c r="E156" s="9"/>
      <c r="F156" s="9"/>
      <c r="G156" s="9"/>
      <c r="H156" s="6"/>
      <c r="I156" s="8"/>
      <c r="J156" s="8"/>
      <c r="K156" s="43"/>
      <c r="L156" s="14"/>
      <c r="M156" s="10"/>
      <c r="N156" s="10"/>
      <c r="O156" s="10"/>
      <c r="P156" s="10"/>
      <c r="Q156" s="10"/>
      <c r="R156" s="10"/>
    </row>
    <row r="157" spans="1:18" x14ac:dyDescent="0.2">
      <c r="A157" s="1"/>
      <c r="B157" s="48"/>
      <c r="C157" s="5"/>
      <c r="D157" s="6"/>
      <c r="E157" s="5"/>
      <c r="F157" s="9"/>
      <c r="G157" s="9"/>
      <c r="H157" s="5"/>
      <c r="I157" s="5"/>
      <c r="J157" s="8"/>
      <c r="K157" s="43"/>
      <c r="L157" s="11"/>
      <c r="M157" s="10"/>
      <c r="N157" s="10"/>
      <c r="O157" s="10"/>
      <c r="P157" s="10"/>
      <c r="Q157" s="10"/>
      <c r="R157" s="10"/>
    </row>
    <row r="158" spans="1:18" x14ac:dyDescent="0.2">
      <c r="A158" s="1"/>
      <c r="B158" s="51"/>
      <c r="C158" s="8"/>
      <c r="D158" s="6"/>
      <c r="E158" s="8"/>
      <c r="F158" s="8"/>
      <c r="G158" s="8"/>
      <c r="H158" s="6"/>
      <c r="I158" s="8"/>
      <c r="J158" s="8"/>
      <c r="K158" s="44"/>
      <c r="L158" s="14"/>
      <c r="M158" s="10"/>
      <c r="N158" s="10"/>
      <c r="O158" s="10"/>
      <c r="P158" s="10"/>
      <c r="Q158" s="10"/>
      <c r="R158" s="10"/>
    </row>
    <row r="159" spans="1:18" x14ac:dyDescent="0.2">
      <c r="A159" s="1"/>
      <c r="B159" s="51"/>
      <c r="C159" s="9"/>
      <c r="D159" s="6"/>
      <c r="E159" s="9"/>
      <c r="F159" s="8"/>
      <c r="G159" s="9"/>
      <c r="H159" s="6"/>
      <c r="I159" s="9"/>
      <c r="J159" s="8"/>
      <c r="K159" s="43"/>
      <c r="L159" s="14"/>
      <c r="M159" s="10"/>
      <c r="N159" s="10"/>
      <c r="O159" s="10"/>
      <c r="P159" s="10"/>
      <c r="Q159" s="10"/>
      <c r="R159" s="10"/>
    </row>
    <row r="160" spans="1:18" x14ac:dyDescent="0.2">
      <c r="A160" s="1"/>
      <c r="B160" s="51"/>
      <c r="C160" s="9"/>
      <c r="D160" s="6"/>
      <c r="E160" s="9"/>
      <c r="F160" s="8"/>
      <c r="G160" s="9"/>
      <c r="H160" s="6"/>
      <c r="I160" s="9"/>
      <c r="J160" s="8"/>
      <c r="K160" s="43"/>
      <c r="L160" s="11"/>
      <c r="M160" s="10"/>
      <c r="N160" s="10"/>
      <c r="O160" s="10"/>
      <c r="P160" s="10"/>
      <c r="Q160" s="10"/>
      <c r="R160" s="10"/>
    </row>
    <row r="161" spans="1:18" x14ac:dyDescent="0.2">
      <c r="A161" s="1"/>
      <c r="B161" s="51"/>
      <c r="C161" s="9"/>
      <c r="D161" s="6"/>
      <c r="E161" s="9"/>
      <c r="F161" s="8"/>
      <c r="G161" s="9"/>
      <c r="H161" s="6"/>
      <c r="I161" s="9"/>
      <c r="J161" s="8"/>
      <c r="K161" s="43"/>
      <c r="L161" s="11"/>
      <c r="M161" s="10"/>
      <c r="N161" s="10"/>
      <c r="O161" s="10"/>
      <c r="P161" s="10"/>
      <c r="Q161" s="10"/>
      <c r="R161" s="10"/>
    </row>
    <row r="162" spans="1:18" x14ac:dyDescent="0.2">
      <c r="A162" s="1"/>
      <c r="B162" s="51"/>
      <c r="C162" s="9"/>
      <c r="D162" s="6"/>
      <c r="E162" s="9"/>
      <c r="F162" s="8"/>
      <c r="G162" s="9"/>
      <c r="H162" s="5"/>
      <c r="I162" s="9"/>
      <c r="J162" s="9"/>
      <c r="K162" s="43"/>
      <c r="L162" s="11"/>
      <c r="M162" s="10"/>
      <c r="N162" s="10"/>
      <c r="O162" s="10"/>
      <c r="P162" s="10"/>
      <c r="Q162" s="10"/>
      <c r="R162" s="10"/>
    </row>
    <row r="163" spans="1:18" x14ac:dyDescent="0.2">
      <c r="A163" s="1"/>
      <c r="B163" s="51"/>
      <c r="C163" s="9"/>
      <c r="D163" s="6"/>
      <c r="E163" s="9"/>
      <c r="F163" s="8"/>
      <c r="G163" s="9"/>
      <c r="H163" s="6"/>
      <c r="I163" s="9"/>
      <c r="J163" s="8"/>
      <c r="K163" s="43"/>
      <c r="L163" s="11"/>
      <c r="M163" s="10"/>
      <c r="N163" s="10"/>
      <c r="O163" s="10"/>
      <c r="P163" s="10"/>
      <c r="Q163" s="10"/>
      <c r="R163" s="10"/>
    </row>
    <row r="164" spans="1:18" x14ac:dyDescent="0.2">
      <c r="A164" s="1"/>
      <c r="B164" s="51"/>
      <c r="C164" s="9"/>
      <c r="D164" s="6"/>
      <c r="E164" s="9"/>
      <c r="F164" s="8"/>
      <c r="G164" s="9"/>
      <c r="H164" s="6"/>
      <c r="I164" s="9"/>
      <c r="J164" s="8"/>
      <c r="K164" s="43"/>
      <c r="L164" s="11"/>
      <c r="M164" s="10"/>
      <c r="N164" s="10"/>
      <c r="O164" s="10"/>
      <c r="P164" s="10"/>
      <c r="Q164" s="10"/>
      <c r="R164" s="10"/>
    </row>
    <row r="165" spans="1:18" x14ac:dyDescent="0.2">
      <c r="A165" s="1"/>
      <c r="B165" s="51"/>
      <c r="C165" s="9"/>
      <c r="D165" s="6"/>
      <c r="E165" s="9"/>
      <c r="F165" s="8"/>
      <c r="G165" s="9"/>
      <c r="H165" s="6"/>
      <c r="I165" s="9"/>
      <c r="J165" s="8"/>
      <c r="K165" s="43"/>
      <c r="L165" s="14"/>
      <c r="M165" s="10"/>
      <c r="N165" s="10"/>
      <c r="O165" s="10"/>
      <c r="P165" s="10"/>
      <c r="Q165" s="10"/>
      <c r="R165" s="10"/>
    </row>
    <row r="166" spans="1:18" x14ac:dyDescent="0.2">
      <c r="A166" s="1"/>
      <c r="B166" s="51"/>
      <c r="C166" s="9"/>
      <c r="D166" s="6"/>
      <c r="E166" s="9"/>
      <c r="F166" s="8"/>
      <c r="G166" s="9"/>
      <c r="H166" s="6"/>
      <c r="I166" s="9"/>
      <c r="J166" s="8"/>
      <c r="K166" s="43"/>
      <c r="L166" s="14"/>
      <c r="M166" s="10"/>
      <c r="N166" s="10"/>
      <c r="O166" s="10"/>
      <c r="P166" s="10"/>
      <c r="Q166" s="10"/>
      <c r="R166" s="10"/>
    </row>
    <row r="167" spans="1:18" x14ac:dyDescent="0.2">
      <c r="A167" s="1"/>
      <c r="B167" s="51"/>
      <c r="C167" s="9"/>
      <c r="D167" s="6"/>
      <c r="E167" s="9"/>
      <c r="F167" s="8"/>
      <c r="G167" s="9"/>
      <c r="H167" s="6"/>
      <c r="I167" s="9"/>
      <c r="J167" s="8"/>
      <c r="K167" s="43"/>
      <c r="L167" s="14"/>
      <c r="M167" s="10"/>
      <c r="N167" s="10"/>
      <c r="O167" s="10"/>
      <c r="P167" s="10"/>
      <c r="Q167" s="10"/>
      <c r="R167" s="10"/>
    </row>
    <row r="168" spans="1:18" x14ac:dyDescent="0.2">
      <c r="A168" s="1"/>
      <c r="B168" s="51"/>
      <c r="C168" s="9"/>
      <c r="D168" s="6"/>
      <c r="E168" s="9"/>
      <c r="F168" s="9"/>
      <c r="G168" s="9"/>
      <c r="H168" s="6"/>
      <c r="I168" s="9"/>
      <c r="J168" s="8"/>
      <c r="K168" s="43"/>
      <c r="L168" s="14"/>
      <c r="M168" s="10"/>
      <c r="N168" s="10"/>
      <c r="O168" s="10"/>
      <c r="P168" s="10"/>
      <c r="Q168" s="10"/>
      <c r="R168" s="10"/>
    </row>
    <row r="169" spans="1:18" ht="13.5" thickBot="1" x14ac:dyDescent="0.25">
      <c r="A169" s="1"/>
      <c r="B169" s="50"/>
      <c r="C169" s="41"/>
      <c r="D169" s="41"/>
      <c r="E169" s="46"/>
      <c r="F169" s="46"/>
      <c r="G169" s="46"/>
      <c r="H169" s="41"/>
      <c r="I169" s="46"/>
      <c r="J169" s="46"/>
      <c r="K169" s="206"/>
      <c r="L169" s="32"/>
      <c r="M169" s="10"/>
      <c r="N169" s="10"/>
      <c r="O169" s="10"/>
      <c r="P169" s="10"/>
      <c r="Q169" s="10"/>
      <c r="R169" s="10"/>
    </row>
    <row r="170" spans="1:18" x14ac:dyDescent="0.2">
      <c r="M170" s="10"/>
      <c r="N170" s="10"/>
      <c r="O170" s="10"/>
      <c r="P170" s="10"/>
      <c r="Q170" s="10"/>
      <c r="R170" s="10"/>
    </row>
    <row r="171" spans="1:18" x14ac:dyDescent="0.2">
      <c r="M171" s="10"/>
      <c r="N171" s="10"/>
    </row>
    <row r="177" spans="3:11" x14ac:dyDescent="0.2">
      <c r="D177" s="34"/>
      <c r="E177" s="34"/>
      <c r="F177" s="34"/>
      <c r="G177" s="34"/>
      <c r="H177" s="34"/>
      <c r="I177" s="34"/>
    </row>
    <row r="178" spans="3:11" ht="15" x14ac:dyDescent="0.2">
      <c r="C178" s="10"/>
      <c r="D178" s="60"/>
      <c r="E178" s="111"/>
      <c r="F178" s="132"/>
      <c r="G178" s="60"/>
      <c r="H178" s="60"/>
      <c r="I178" s="60"/>
      <c r="J178" s="10"/>
      <c r="K178" s="10"/>
    </row>
    <row r="179" spans="3:11" ht="15.75" x14ac:dyDescent="0.25">
      <c r="C179" s="10"/>
      <c r="D179" s="60"/>
      <c r="E179" s="67"/>
      <c r="F179" s="126"/>
      <c r="G179" s="60"/>
      <c r="H179" s="60"/>
      <c r="I179" s="60"/>
      <c r="J179" s="10"/>
      <c r="K179" s="10"/>
    </row>
    <row r="180" spans="3:11" x14ac:dyDescent="0.2">
      <c r="C180" s="10"/>
      <c r="D180" s="60"/>
      <c r="E180" s="133"/>
      <c r="F180" s="67"/>
      <c r="G180" s="60"/>
      <c r="H180" s="68"/>
      <c r="I180" s="60"/>
      <c r="J180" s="10"/>
      <c r="K180" s="10"/>
    </row>
    <row r="181" spans="3:11" x14ac:dyDescent="0.2">
      <c r="C181" s="10"/>
      <c r="D181" s="60"/>
      <c r="E181" s="127"/>
      <c r="F181" s="67"/>
      <c r="G181" s="60"/>
      <c r="H181" s="69"/>
      <c r="I181" s="60"/>
      <c r="J181" s="66"/>
      <c r="K181" s="71"/>
    </row>
    <row r="182" spans="3:11" x14ac:dyDescent="0.2">
      <c r="C182" s="10"/>
      <c r="D182" s="60"/>
      <c r="E182" s="127"/>
      <c r="F182" s="67"/>
      <c r="G182" s="60"/>
      <c r="H182" s="69"/>
      <c r="I182" s="60"/>
      <c r="J182" s="73"/>
      <c r="K182" s="71"/>
    </row>
    <row r="183" spans="3:11" x14ac:dyDescent="0.2">
      <c r="C183" s="10"/>
      <c r="D183" s="60"/>
      <c r="E183" s="127"/>
      <c r="F183" s="67"/>
      <c r="G183" s="60"/>
      <c r="H183" s="69"/>
      <c r="I183" s="60"/>
      <c r="J183" s="74"/>
      <c r="K183" s="66"/>
    </row>
    <row r="184" spans="3:11" x14ac:dyDescent="0.2">
      <c r="C184" s="10"/>
      <c r="D184" s="60"/>
      <c r="E184" s="127"/>
      <c r="F184" s="67"/>
      <c r="G184" s="60"/>
      <c r="H184" s="69"/>
      <c r="I184" s="60"/>
      <c r="J184" s="74"/>
      <c r="K184" s="66"/>
    </row>
    <row r="185" spans="3:11" x14ac:dyDescent="0.2">
      <c r="C185" s="10"/>
      <c r="D185" s="60"/>
      <c r="E185" s="127"/>
      <c r="F185" s="67"/>
      <c r="G185" s="60"/>
      <c r="H185" s="70"/>
      <c r="I185" s="60"/>
      <c r="J185" s="74"/>
      <c r="K185" s="74"/>
    </row>
    <row r="186" spans="3:11" x14ac:dyDescent="0.2">
      <c r="C186" s="10"/>
      <c r="D186" s="60"/>
      <c r="E186" s="127"/>
      <c r="F186" s="67"/>
      <c r="G186" s="60"/>
      <c r="H186" s="60"/>
      <c r="I186" s="60"/>
      <c r="J186" s="74"/>
      <c r="K186" s="74"/>
    </row>
    <row r="187" spans="3:11" x14ac:dyDescent="0.2">
      <c r="C187" s="10"/>
      <c r="D187" s="60"/>
      <c r="E187" s="128"/>
      <c r="F187" s="67"/>
      <c r="G187" s="60"/>
      <c r="H187" s="60"/>
      <c r="I187" s="60"/>
      <c r="J187" s="66"/>
      <c r="K187" s="74"/>
    </row>
    <row r="188" spans="3:11" x14ac:dyDescent="0.2">
      <c r="C188" s="10"/>
      <c r="D188" s="60"/>
      <c r="E188" s="127"/>
      <c r="F188" s="67"/>
      <c r="G188" s="60"/>
      <c r="H188" s="60"/>
      <c r="I188" s="60"/>
      <c r="J188" s="66"/>
      <c r="K188" s="66"/>
    </row>
    <row r="189" spans="3:11" x14ac:dyDescent="0.2">
      <c r="C189" s="10"/>
      <c r="D189" s="60"/>
      <c r="E189" s="127"/>
      <c r="F189" s="67"/>
      <c r="G189" s="60"/>
      <c r="H189" s="60"/>
      <c r="I189" s="60"/>
      <c r="J189" s="66"/>
      <c r="K189" s="75"/>
    </row>
    <row r="190" spans="3:11" x14ac:dyDescent="0.2">
      <c r="C190" s="10"/>
      <c r="D190" s="60"/>
      <c r="E190" s="127"/>
      <c r="F190" s="67"/>
      <c r="G190" s="60"/>
      <c r="H190" s="60"/>
      <c r="I190" s="60"/>
      <c r="J190" s="75"/>
      <c r="K190" s="75"/>
    </row>
    <row r="191" spans="3:11" x14ac:dyDescent="0.2">
      <c r="C191" s="10"/>
      <c r="D191" s="60"/>
      <c r="E191" s="127"/>
      <c r="F191" s="67"/>
      <c r="G191" s="60"/>
      <c r="H191" s="60"/>
      <c r="I191" s="60"/>
      <c r="J191" s="74"/>
      <c r="K191" s="74"/>
    </row>
    <row r="192" spans="3:11" x14ac:dyDescent="0.2">
      <c r="C192" s="10"/>
      <c r="D192" s="60"/>
      <c r="E192" s="127"/>
      <c r="F192" s="67"/>
      <c r="G192" s="60"/>
      <c r="H192" s="60"/>
      <c r="I192" s="60"/>
      <c r="J192" s="66"/>
      <c r="K192" s="66"/>
    </row>
    <row r="193" spans="3:11" x14ac:dyDescent="0.2">
      <c r="C193" s="10"/>
      <c r="D193" s="60"/>
      <c r="E193" s="127"/>
      <c r="F193" s="67"/>
      <c r="G193" s="60"/>
      <c r="H193" s="60"/>
      <c r="I193" s="60"/>
      <c r="J193" s="74"/>
      <c r="K193" s="66"/>
    </row>
    <row r="194" spans="3:11" x14ac:dyDescent="0.2">
      <c r="C194" s="10"/>
      <c r="D194" s="60"/>
      <c r="E194" s="127"/>
      <c r="F194" s="67"/>
      <c r="G194" s="60"/>
      <c r="H194" s="60"/>
      <c r="I194" s="60"/>
      <c r="J194" s="66"/>
      <c r="K194" s="66"/>
    </row>
    <row r="195" spans="3:11" x14ac:dyDescent="0.2">
      <c r="C195" s="10"/>
      <c r="D195" s="60"/>
      <c r="E195" s="127"/>
      <c r="F195" s="67"/>
      <c r="G195" s="60"/>
      <c r="H195" s="60"/>
      <c r="I195" s="60"/>
      <c r="J195" s="10"/>
      <c r="K195" s="10"/>
    </row>
    <row r="196" spans="3:11" x14ac:dyDescent="0.2">
      <c r="C196" s="10"/>
      <c r="D196" s="60"/>
      <c r="E196" s="127"/>
      <c r="F196" s="67"/>
      <c r="G196" s="60"/>
      <c r="H196" s="60"/>
      <c r="I196" s="60"/>
      <c r="J196" s="10"/>
      <c r="K196" s="10"/>
    </row>
    <row r="197" spans="3:11" x14ac:dyDescent="0.2">
      <c r="C197" s="10"/>
      <c r="D197" s="60"/>
      <c r="E197" s="127"/>
      <c r="F197" s="67"/>
      <c r="G197" s="60"/>
      <c r="H197" s="60"/>
      <c r="I197" s="60"/>
      <c r="J197" s="10"/>
      <c r="K197" s="10"/>
    </row>
    <row r="198" spans="3:11" x14ac:dyDescent="0.2">
      <c r="C198" s="10"/>
      <c r="D198" s="60"/>
      <c r="E198" s="127"/>
      <c r="F198" s="67"/>
      <c r="G198" s="60"/>
      <c r="H198" s="60"/>
      <c r="I198" s="60"/>
      <c r="J198" s="10"/>
      <c r="K198" s="10"/>
    </row>
    <row r="199" spans="3:11" x14ac:dyDescent="0.2">
      <c r="C199" s="10"/>
      <c r="D199" s="60"/>
      <c r="E199" s="60"/>
      <c r="F199" s="67"/>
      <c r="G199" s="60"/>
      <c r="H199" s="66"/>
      <c r="I199" s="60"/>
      <c r="J199" s="10"/>
      <c r="K199" s="10"/>
    </row>
    <row r="200" spans="3:11" x14ac:dyDescent="0.2">
      <c r="C200" s="10"/>
      <c r="D200" s="60"/>
      <c r="E200" s="60"/>
      <c r="F200" s="60"/>
      <c r="G200" s="60"/>
      <c r="H200" s="66"/>
      <c r="I200" s="60"/>
      <c r="J200" s="10"/>
      <c r="K200" s="10"/>
    </row>
    <row r="201" spans="3:11" x14ac:dyDescent="0.2">
      <c r="C201" s="10"/>
      <c r="D201" s="60"/>
      <c r="E201" s="60"/>
      <c r="F201" s="60"/>
      <c r="G201" s="60"/>
      <c r="H201" s="66"/>
      <c r="I201" s="60"/>
      <c r="J201" s="10"/>
      <c r="K201" s="10"/>
    </row>
    <row r="202" spans="3:11" x14ac:dyDescent="0.2">
      <c r="C202" s="10"/>
      <c r="D202" s="60"/>
      <c r="E202" s="129"/>
      <c r="F202" s="129"/>
      <c r="G202" s="60"/>
      <c r="H202" s="66"/>
      <c r="I202" s="60"/>
      <c r="J202" s="10"/>
      <c r="K202" s="10"/>
    </row>
    <row r="203" spans="3:11" x14ac:dyDescent="0.2">
      <c r="C203" s="10"/>
      <c r="D203" s="60"/>
      <c r="E203" s="129"/>
      <c r="F203" s="129"/>
      <c r="G203" s="60"/>
      <c r="H203" s="66"/>
      <c r="I203" s="60"/>
      <c r="J203" s="10"/>
      <c r="K203" s="10"/>
    </row>
    <row r="204" spans="3:11" x14ac:dyDescent="0.2">
      <c r="C204" s="10"/>
      <c r="D204" s="60"/>
      <c r="E204" s="129"/>
      <c r="F204" s="129"/>
      <c r="G204" s="60"/>
      <c r="H204" s="66"/>
      <c r="I204" s="60"/>
      <c r="J204" s="10"/>
      <c r="K204" s="10"/>
    </row>
    <row r="205" spans="3:11" x14ac:dyDescent="0.2">
      <c r="C205" s="10"/>
      <c r="D205" s="60"/>
      <c r="E205" s="129"/>
      <c r="F205" s="129"/>
      <c r="G205" s="60"/>
      <c r="H205" s="75"/>
      <c r="I205" s="60"/>
      <c r="J205" s="10"/>
      <c r="K205" s="10"/>
    </row>
    <row r="206" spans="3:11" x14ac:dyDescent="0.2">
      <c r="C206" s="10"/>
      <c r="D206" s="60"/>
      <c r="E206" s="129"/>
      <c r="F206" s="130"/>
      <c r="G206" s="60"/>
      <c r="H206" s="75"/>
      <c r="I206" s="60"/>
      <c r="J206" s="10"/>
      <c r="K206" s="10"/>
    </row>
    <row r="207" spans="3:11" x14ac:dyDescent="0.2">
      <c r="C207" s="10"/>
      <c r="D207" s="60"/>
      <c r="E207" s="130"/>
      <c r="F207" s="130"/>
      <c r="G207" s="60"/>
      <c r="H207" s="75"/>
      <c r="I207" s="60"/>
      <c r="J207" s="10"/>
      <c r="K207" s="10"/>
    </row>
    <row r="208" spans="3:11" x14ac:dyDescent="0.2">
      <c r="C208" s="10"/>
      <c r="D208" s="60"/>
      <c r="E208" s="129"/>
      <c r="F208" s="129"/>
      <c r="G208" s="60"/>
      <c r="H208" s="66"/>
      <c r="I208" s="60"/>
      <c r="J208" s="10"/>
      <c r="K208" s="10"/>
    </row>
    <row r="209" spans="3:11" x14ac:dyDescent="0.2">
      <c r="C209" s="10"/>
      <c r="D209" s="60"/>
      <c r="E209" s="129"/>
      <c r="F209" s="129"/>
      <c r="G209" s="60"/>
      <c r="H209" s="328"/>
      <c r="I209" s="60"/>
      <c r="J209" s="10"/>
      <c r="K209" s="10"/>
    </row>
    <row r="210" spans="3:11" x14ac:dyDescent="0.2">
      <c r="C210" s="10"/>
      <c r="D210" s="60"/>
      <c r="E210" s="129"/>
      <c r="F210" s="131"/>
      <c r="G210" s="60"/>
      <c r="H210" s="66"/>
      <c r="I210" s="34"/>
    </row>
    <row r="211" spans="3:11" x14ac:dyDescent="0.2">
      <c r="C211" s="10"/>
      <c r="D211" s="60"/>
      <c r="E211" s="129"/>
      <c r="F211" s="129"/>
      <c r="G211" s="60"/>
      <c r="H211" s="66"/>
      <c r="I211" s="34"/>
    </row>
    <row r="212" spans="3:11" x14ac:dyDescent="0.2">
      <c r="C212" s="10"/>
      <c r="D212" s="60"/>
      <c r="E212" s="129"/>
      <c r="F212" s="129"/>
      <c r="G212" s="60"/>
      <c r="H212" s="10"/>
    </row>
    <row r="213" spans="3:11" x14ac:dyDescent="0.2">
      <c r="C213" s="10"/>
      <c r="D213" s="60"/>
      <c r="E213" s="129"/>
      <c r="F213" s="129"/>
      <c r="G213" s="60"/>
      <c r="H213" s="10"/>
    </row>
    <row r="214" spans="3:11" x14ac:dyDescent="0.2">
      <c r="C214" s="10"/>
      <c r="D214" s="60"/>
      <c r="E214" s="129"/>
      <c r="F214" s="129"/>
      <c r="G214" s="60"/>
      <c r="H214" s="10"/>
    </row>
    <row r="215" spans="3:11" x14ac:dyDescent="0.2">
      <c r="C215" s="10"/>
      <c r="D215" s="60"/>
      <c r="E215" s="129"/>
      <c r="F215" s="129"/>
      <c r="G215" s="60"/>
      <c r="H215" s="10"/>
    </row>
    <row r="216" spans="3:11" x14ac:dyDescent="0.2">
      <c r="C216" s="10"/>
      <c r="D216" s="60"/>
      <c r="E216" s="129"/>
      <c r="F216" s="129"/>
      <c r="G216" s="60"/>
      <c r="H216" s="10"/>
    </row>
    <row r="217" spans="3:11" x14ac:dyDescent="0.2">
      <c r="C217" s="10"/>
      <c r="D217" s="60"/>
      <c r="E217" s="129"/>
      <c r="F217" s="129"/>
      <c r="G217" s="60"/>
      <c r="H217" s="10"/>
    </row>
    <row r="218" spans="3:11" x14ac:dyDescent="0.2">
      <c r="C218" s="10"/>
      <c r="D218" s="60"/>
      <c r="E218" s="129"/>
      <c r="F218" s="129"/>
      <c r="G218" s="60"/>
      <c r="H218" s="10"/>
    </row>
    <row r="219" spans="3:11" x14ac:dyDescent="0.2">
      <c r="C219" s="10"/>
      <c r="D219" s="60"/>
      <c r="E219" s="60"/>
      <c r="F219" s="60"/>
      <c r="G219" s="60"/>
      <c r="H219" s="10"/>
    </row>
    <row r="220" spans="3:11" x14ac:dyDescent="0.2">
      <c r="D220" s="34"/>
      <c r="E220" s="34"/>
      <c r="F220" s="34"/>
      <c r="G220" s="34"/>
    </row>
    <row r="221" spans="3:11" x14ac:dyDescent="0.2">
      <c r="D221" s="34"/>
      <c r="E221" s="34"/>
      <c r="F221" s="34"/>
      <c r="G221" s="34"/>
    </row>
  </sheetData>
  <mergeCells count="58">
    <mergeCell ref="B1:K1"/>
    <mergeCell ref="B2:K2"/>
    <mergeCell ref="B3:K3"/>
    <mergeCell ref="B137:C137"/>
    <mergeCell ref="B133:C133"/>
    <mergeCell ref="E124:K124"/>
    <mergeCell ref="E140:J140"/>
    <mergeCell ref="E136:J136"/>
    <mergeCell ref="E137:J137"/>
    <mergeCell ref="E138:J138"/>
    <mergeCell ref="E139:J139"/>
    <mergeCell ref="E132:J132"/>
    <mergeCell ref="E133:J133"/>
    <mergeCell ref="E134:J134"/>
    <mergeCell ref="E135:J135"/>
    <mergeCell ref="B138:C138"/>
    <mergeCell ref="B140:C140"/>
    <mergeCell ref="E122:K122"/>
    <mergeCell ref="E123:K123"/>
    <mergeCell ref="E125:K125"/>
    <mergeCell ref="E126:K126"/>
    <mergeCell ref="E127:K127"/>
    <mergeCell ref="E128:K128"/>
    <mergeCell ref="B125:C125"/>
    <mergeCell ref="B126:C126"/>
    <mergeCell ref="B139:C139"/>
    <mergeCell ref="B130:K130"/>
    <mergeCell ref="B132:C132"/>
    <mergeCell ref="B134:C134"/>
    <mergeCell ref="B135:C135"/>
    <mergeCell ref="B136:C136"/>
    <mergeCell ref="B128:C128"/>
    <mergeCell ref="B120:C120"/>
    <mergeCell ref="B121:C121"/>
    <mergeCell ref="B122:C122"/>
    <mergeCell ref="B123:C123"/>
    <mergeCell ref="B124:C124"/>
    <mergeCell ref="E115:K115"/>
    <mergeCell ref="E117:K117"/>
    <mergeCell ref="B116:C116"/>
    <mergeCell ref="E116:K116"/>
    <mergeCell ref="B127:C127"/>
    <mergeCell ref="E120:K120"/>
    <mergeCell ref="E121:K121"/>
    <mergeCell ref="I20:J20"/>
    <mergeCell ref="B115:C115"/>
    <mergeCell ref="B117:C117"/>
    <mergeCell ref="C91:D91"/>
    <mergeCell ref="E91:F91"/>
    <mergeCell ref="G91:H91"/>
    <mergeCell ref="B118:C118"/>
    <mergeCell ref="B119:C119"/>
    <mergeCell ref="E118:K118"/>
    <mergeCell ref="E119:K119"/>
    <mergeCell ref="B113:C113"/>
    <mergeCell ref="B114:C114"/>
    <mergeCell ref="E113:K113"/>
    <mergeCell ref="E114:K114"/>
  </mergeCells>
  <phoneticPr fontId="9" type="noConversion"/>
  <hyperlinks>
    <hyperlink ref="I54" location="КОМПЛЕКТУЮЩ_ЭНКОНТ!A1" display="Комплектующие к Энконт"/>
  </hyperlinks>
  <pageMargins left="0.59055118110236227" right="0.35433070866141736" top="0.59055118110236227" bottom="0.59055118110236227" header="0.39370078740157483" footer="0.51181102362204722"/>
  <pageSetup paperSize="9" scale="55" fitToHeight="2" orientation="portrait" horizontalDpi="1200" verticalDpi="1200" r:id="rId1"/>
  <headerFooter alignWithMargins="0"/>
  <rowBreaks count="1" manualBreakCount="1">
    <brk id="9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7734" r:id="rId4" name="Check Box 86">
              <controlPr locked="0" defaultSize="0" autoFill="0" autoLine="0" autoPict="0" altText="Опция &quot;ШК&quot;">
                <anchor moveWithCells="1">
                  <from>
                    <xdr:col>2</xdr:col>
                    <xdr:colOff>9525</xdr:colOff>
                    <xdr:row>42</xdr:row>
                    <xdr:rowOff>180975</xdr:rowOff>
                  </from>
                  <to>
                    <xdr:col>3</xdr:col>
                    <xdr:colOff>981075</xdr:colOff>
                    <xdr:row>44</xdr:row>
                    <xdr:rowOff>19050</xdr:rowOff>
                  </to>
                </anchor>
              </controlPr>
            </control>
          </mc:Choice>
        </mc:AlternateContent>
        <mc:AlternateContent xmlns:mc="http://schemas.openxmlformats.org/markup-compatibility/2006">
          <mc:Choice Requires="x14">
            <control shapeId="27735" r:id="rId5" name="Check Box 87">
              <controlPr locked="0" defaultSize="0" autoFill="0" autoLine="0" autoPict="0" altText="Опция &quot;ШК&quot;">
                <anchor moveWithCells="1">
                  <from>
                    <xdr:col>2</xdr:col>
                    <xdr:colOff>19050</xdr:colOff>
                    <xdr:row>41</xdr:row>
                    <xdr:rowOff>180975</xdr:rowOff>
                  </from>
                  <to>
                    <xdr:col>3</xdr:col>
                    <xdr:colOff>1047750</xdr:colOff>
                    <xdr:row>43</xdr:row>
                    <xdr:rowOff>19050</xdr:rowOff>
                  </to>
                </anchor>
              </controlPr>
            </control>
          </mc:Choice>
        </mc:AlternateContent>
        <mc:AlternateContent xmlns:mc="http://schemas.openxmlformats.org/markup-compatibility/2006">
          <mc:Choice Requires="x14">
            <control shapeId="27736" r:id="rId6" name="Check Box 88">
              <controlPr locked="0" defaultSize="0" autoFill="0" autoLine="0" autoPict="0" altText="Опция &quot;ШК&quot;">
                <anchor moveWithCells="1">
                  <from>
                    <xdr:col>4</xdr:col>
                    <xdr:colOff>38100</xdr:colOff>
                    <xdr:row>41</xdr:row>
                    <xdr:rowOff>180975</xdr:rowOff>
                  </from>
                  <to>
                    <xdr:col>5</xdr:col>
                    <xdr:colOff>1085850</xdr:colOff>
                    <xdr:row>43</xdr:row>
                    <xdr:rowOff>19050</xdr:rowOff>
                  </to>
                </anchor>
              </controlPr>
            </control>
          </mc:Choice>
        </mc:AlternateContent>
        <mc:AlternateContent xmlns:mc="http://schemas.openxmlformats.org/markup-compatibility/2006">
          <mc:Choice Requires="x14">
            <control shapeId="27737" r:id="rId7" name="Check Box 89">
              <controlPr locked="0" defaultSize="0" autoFill="0" autoLine="0" autoPict="0" altText="Опция &quot;ШК&quot;">
                <anchor moveWithCells="1">
                  <from>
                    <xdr:col>4</xdr:col>
                    <xdr:colOff>38100</xdr:colOff>
                    <xdr:row>42</xdr:row>
                    <xdr:rowOff>180975</xdr:rowOff>
                  </from>
                  <to>
                    <xdr:col>5</xdr:col>
                    <xdr:colOff>1028700</xdr:colOff>
                    <xdr:row>44</xdr:row>
                    <xdr:rowOff>19050</xdr:rowOff>
                  </to>
                </anchor>
              </controlPr>
            </control>
          </mc:Choice>
        </mc:AlternateContent>
        <mc:AlternateContent xmlns:mc="http://schemas.openxmlformats.org/markup-compatibility/2006">
          <mc:Choice Requires="x14">
            <control shapeId="27740" r:id="rId8" name="Check Box 92">
              <controlPr locked="0" defaultSize="0" autoFill="0" autoLine="0" autoPict="0" altText="Опция &quot;ШК&quot;">
                <anchor moveWithCells="1">
                  <from>
                    <xdr:col>6</xdr:col>
                    <xdr:colOff>28575</xdr:colOff>
                    <xdr:row>43</xdr:row>
                    <xdr:rowOff>0</xdr:rowOff>
                  </from>
                  <to>
                    <xdr:col>7</xdr:col>
                    <xdr:colOff>1000125</xdr:colOff>
                    <xdr:row>44</xdr:row>
                    <xdr:rowOff>28575</xdr:rowOff>
                  </to>
                </anchor>
              </controlPr>
            </control>
          </mc:Choice>
        </mc:AlternateContent>
        <mc:AlternateContent xmlns:mc="http://schemas.openxmlformats.org/markup-compatibility/2006">
          <mc:Choice Requires="x14">
            <control shapeId="27741" r:id="rId9" name="Check Box 93">
              <controlPr locked="0" defaultSize="0" autoFill="0" autoLine="0" autoPict="0" altText="Опция &quot;ШК&quot;">
                <anchor moveWithCells="1">
                  <from>
                    <xdr:col>6</xdr:col>
                    <xdr:colOff>28575</xdr:colOff>
                    <xdr:row>41</xdr:row>
                    <xdr:rowOff>180975</xdr:rowOff>
                  </from>
                  <to>
                    <xdr:col>7</xdr:col>
                    <xdr:colOff>1000125</xdr:colOff>
                    <xdr:row>43</xdr:row>
                    <xdr:rowOff>19050</xdr:rowOff>
                  </to>
                </anchor>
              </controlPr>
            </control>
          </mc:Choice>
        </mc:AlternateContent>
        <mc:AlternateContent xmlns:mc="http://schemas.openxmlformats.org/markup-compatibility/2006">
          <mc:Choice Requires="x14">
            <control shapeId="138973" r:id="rId10" name="Drop Down 7901">
              <controlPr locked="0" defaultSize="0" autoLine="0" autoPict="0">
                <anchor moveWithCells="1">
                  <from>
                    <xdr:col>2</xdr:col>
                    <xdr:colOff>57150</xdr:colOff>
                    <xdr:row>39</xdr:row>
                    <xdr:rowOff>9525</xdr:rowOff>
                  </from>
                  <to>
                    <xdr:col>3</xdr:col>
                    <xdr:colOff>257175</xdr:colOff>
                    <xdr:row>40</xdr:row>
                    <xdr:rowOff>28575</xdr:rowOff>
                  </to>
                </anchor>
              </controlPr>
            </control>
          </mc:Choice>
        </mc:AlternateContent>
        <mc:AlternateContent xmlns:mc="http://schemas.openxmlformats.org/markup-compatibility/2006">
          <mc:Choice Requires="x14">
            <control shapeId="139028" r:id="rId11" name="Drop Down 7956">
              <controlPr locked="0" defaultSize="0" autoLine="0" autoPict="0">
                <anchor moveWithCells="1">
                  <from>
                    <xdr:col>4</xdr:col>
                    <xdr:colOff>57150</xdr:colOff>
                    <xdr:row>39</xdr:row>
                    <xdr:rowOff>19050</xdr:rowOff>
                  </from>
                  <to>
                    <xdr:col>5</xdr:col>
                    <xdr:colOff>257175</xdr:colOff>
                    <xdr:row>40</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1:X127"/>
  <sheetViews>
    <sheetView zoomScaleNormal="100" workbookViewId="0">
      <selection activeCell="B4" sqref="B4"/>
    </sheetView>
  </sheetViews>
  <sheetFormatPr defaultRowHeight="12.75" x14ac:dyDescent="0.2"/>
  <cols>
    <col min="1" max="1" width="2" customWidth="1"/>
    <col min="2" max="2" width="22.85546875" customWidth="1"/>
    <col min="3" max="3" width="10.5703125" customWidth="1"/>
    <col min="4" max="5" width="8" customWidth="1"/>
    <col min="6" max="6" width="10.85546875" customWidth="1"/>
    <col min="7" max="7" width="10.5703125" customWidth="1"/>
    <col min="8" max="8" width="13.85546875" customWidth="1"/>
    <col min="9" max="9" width="11.7109375" customWidth="1"/>
    <col min="10" max="10" width="14.140625" customWidth="1"/>
    <col min="11" max="11" width="14.85546875" customWidth="1"/>
    <col min="12" max="12" width="16.5703125" customWidth="1"/>
    <col min="13" max="13" width="11.140625" customWidth="1"/>
    <col min="14" max="14" width="15.28515625" customWidth="1"/>
    <col min="15" max="15" width="16" customWidth="1"/>
    <col min="16" max="16" width="9.140625" hidden="1" customWidth="1"/>
  </cols>
  <sheetData>
    <row r="1" spans="1:24" ht="22.5" customHeight="1" x14ac:dyDescent="0.2">
      <c r="B1" s="2063" t="s">
        <v>1448</v>
      </c>
      <c r="C1" s="2063"/>
      <c r="D1" s="2063"/>
      <c r="E1" s="2063"/>
      <c r="F1" s="2063"/>
      <c r="G1" s="2063"/>
      <c r="H1" s="2063"/>
      <c r="I1" s="2063"/>
      <c r="J1" s="2063"/>
      <c r="K1" s="2063"/>
      <c r="L1" s="2063"/>
      <c r="M1" s="2063"/>
      <c r="N1" s="2063"/>
      <c r="O1" s="10"/>
      <c r="P1" s="11"/>
      <c r="Q1" s="1"/>
      <c r="R1" s="1"/>
      <c r="S1" s="1"/>
      <c r="T1" s="1"/>
      <c r="U1" s="10"/>
    </row>
    <row r="2" spans="1:24" ht="172.5" customHeight="1" x14ac:dyDescent="0.2">
      <c r="B2" s="2061"/>
      <c r="C2" s="2061"/>
      <c r="D2" s="2061"/>
      <c r="E2" s="2061"/>
      <c r="F2" s="2061"/>
      <c r="G2" s="2061"/>
      <c r="H2" s="2061"/>
      <c r="I2" s="2061"/>
      <c r="J2" s="2061"/>
      <c r="K2" s="2061"/>
      <c r="L2" s="2061"/>
      <c r="M2" s="2061"/>
      <c r="N2" s="2061"/>
      <c r="O2" s="10"/>
      <c r="P2" s="10"/>
      <c r="Q2" s="1"/>
      <c r="R2" s="1"/>
      <c r="S2" s="1"/>
      <c r="T2" s="1"/>
      <c r="U2" s="10"/>
    </row>
    <row r="3" spans="1:24" ht="20.25" customHeight="1" x14ac:dyDescent="0.2">
      <c r="A3" s="1"/>
      <c r="B3" s="2064" t="s">
        <v>1449</v>
      </c>
      <c r="C3" s="2064"/>
      <c r="D3" s="2064"/>
      <c r="E3" s="2064"/>
      <c r="F3" s="2064"/>
      <c r="G3" s="2064"/>
      <c r="H3" s="2064"/>
      <c r="I3" s="2064"/>
      <c r="J3" s="2064"/>
      <c r="K3" s="2064"/>
      <c r="L3" s="2064"/>
      <c r="M3" s="2064"/>
      <c r="N3" s="2065"/>
      <c r="O3" s="26"/>
      <c r="P3" s="34"/>
      <c r="Q3" s="34"/>
      <c r="R3" s="34"/>
      <c r="S3" s="34"/>
      <c r="T3" s="60"/>
      <c r="U3" s="60"/>
      <c r="V3" s="60"/>
      <c r="W3" s="34"/>
      <c r="X3" s="34"/>
    </row>
    <row r="4" spans="1:24" ht="37.5" customHeight="1" thickBot="1" x14ac:dyDescent="0.25">
      <c r="A4" s="1"/>
      <c r="B4" s="809" t="s">
        <v>974</v>
      </c>
      <c r="C4" s="810"/>
      <c r="D4" s="811"/>
      <c r="E4" s="811"/>
      <c r="F4" s="811"/>
      <c r="G4" s="811"/>
      <c r="H4" s="812"/>
      <c r="I4" s="813"/>
      <c r="J4" s="814"/>
      <c r="K4" s="954"/>
      <c r="L4" s="955"/>
      <c r="M4" s="956"/>
      <c r="N4" s="1089"/>
      <c r="O4" s="418"/>
      <c r="P4" s="60"/>
      <c r="Q4" s="602"/>
      <c r="R4" s="60"/>
      <c r="S4" s="60"/>
      <c r="T4" s="60"/>
      <c r="U4" s="60"/>
      <c r="V4" s="60"/>
      <c r="W4" s="34"/>
      <c r="X4" s="34"/>
    </row>
    <row r="5" spans="1:24" ht="22.5" customHeight="1" x14ac:dyDescent="0.25">
      <c r="A5" s="808"/>
      <c r="B5" s="806" t="s">
        <v>230</v>
      </c>
      <c r="C5" s="806"/>
      <c r="D5" s="806"/>
      <c r="E5" s="806"/>
      <c r="F5" s="806"/>
      <c r="G5" s="806"/>
      <c r="H5" s="65"/>
      <c r="I5" s="65"/>
      <c r="J5" s="65"/>
      <c r="K5" s="65"/>
      <c r="L5" s="65"/>
      <c r="M5" s="65"/>
      <c r="N5" s="818"/>
      <c r="O5" s="418"/>
      <c r="P5" s="2"/>
      <c r="Q5" s="602"/>
      <c r="R5" s="60"/>
      <c r="S5" s="60"/>
      <c r="T5" s="60"/>
      <c r="U5" s="60"/>
      <c r="V5" s="10"/>
    </row>
    <row r="6" spans="1:24" ht="15" customHeight="1" x14ac:dyDescent="0.2">
      <c r="A6" s="808"/>
      <c r="B6" s="61" t="s">
        <v>470</v>
      </c>
      <c r="C6" s="61"/>
      <c r="D6" s="61"/>
      <c r="E6" s="61"/>
      <c r="F6" s="61"/>
      <c r="G6" s="61"/>
      <c r="H6" s="65"/>
      <c r="I6" s="65"/>
      <c r="J6" s="65"/>
      <c r="K6" s="65"/>
      <c r="L6" s="65"/>
      <c r="M6" s="65"/>
      <c r="N6" s="819"/>
      <c r="O6" s="418"/>
      <c r="P6" s="2"/>
      <c r="Q6" s="33"/>
      <c r="R6" s="60"/>
      <c r="S6" s="60"/>
      <c r="T6" s="60"/>
      <c r="U6" s="60"/>
    </row>
    <row r="7" spans="1:24" ht="15" customHeight="1" x14ac:dyDescent="0.2">
      <c r="A7" s="808"/>
      <c r="B7" s="61" t="s">
        <v>681</v>
      </c>
      <c r="C7" s="61"/>
      <c r="D7" s="61"/>
      <c r="E7" s="61"/>
      <c r="F7" s="61"/>
      <c r="G7" s="61"/>
      <c r="H7" s="65"/>
      <c r="I7" s="65"/>
      <c r="J7" s="65"/>
      <c r="K7" s="65"/>
      <c r="L7" s="65"/>
      <c r="M7" s="65"/>
      <c r="N7" s="819"/>
      <c r="O7" s="418"/>
      <c r="P7" s="2"/>
      <c r="Q7" s="60"/>
      <c r="R7" s="60"/>
      <c r="S7" s="60"/>
      <c r="T7" s="60"/>
      <c r="U7" s="60"/>
      <c r="V7" s="10"/>
      <c r="W7" s="10"/>
    </row>
    <row r="8" spans="1:24" ht="15" customHeight="1" x14ac:dyDescent="0.2">
      <c r="A8" s="808"/>
      <c r="B8" s="65" t="s">
        <v>827</v>
      </c>
      <c r="C8" s="65"/>
      <c r="D8" s="65"/>
      <c r="E8" s="65"/>
      <c r="F8" s="65"/>
      <c r="G8" s="65"/>
      <c r="H8" s="65"/>
      <c r="I8" s="65"/>
      <c r="J8" s="65"/>
      <c r="K8" s="65"/>
      <c r="L8" s="65"/>
      <c r="M8" s="65"/>
      <c r="N8" s="819"/>
      <c r="O8" s="418"/>
      <c r="P8" s="2"/>
      <c r="Q8" s="602"/>
      <c r="R8" s="60"/>
      <c r="S8" s="60"/>
      <c r="T8" s="60"/>
      <c r="U8" s="60"/>
      <c r="V8" s="10"/>
      <c r="W8" s="10"/>
    </row>
    <row r="9" spans="1:24" ht="15" customHeight="1" x14ac:dyDescent="0.2">
      <c r="A9" s="808"/>
      <c r="B9" s="61" t="s">
        <v>1364</v>
      </c>
      <c r="C9" s="61"/>
      <c r="D9" s="61"/>
      <c r="E9" s="61"/>
      <c r="F9" s="61"/>
      <c r="G9" s="61"/>
      <c r="H9" s="65"/>
      <c r="I9" s="65"/>
      <c r="J9" s="65"/>
      <c r="K9" s="65"/>
      <c r="L9" s="65"/>
      <c r="M9" s="65"/>
      <c r="N9" s="819"/>
      <c r="O9" s="418"/>
      <c r="P9" s="2"/>
      <c r="Q9" s="33"/>
      <c r="R9" s="60"/>
      <c r="S9" s="60"/>
      <c r="T9" s="60"/>
      <c r="U9" s="60"/>
      <c r="V9" s="10"/>
      <c r="W9" s="10"/>
    </row>
    <row r="10" spans="1:24" ht="15" customHeight="1" x14ac:dyDescent="0.2">
      <c r="A10" s="808"/>
      <c r="B10" s="61" t="s">
        <v>828</v>
      </c>
      <c r="C10" s="61"/>
      <c r="D10" s="61"/>
      <c r="E10" s="61"/>
      <c r="F10" s="61"/>
      <c r="G10" s="61"/>
      <c r="H10" s="65"/>
      <c r="I10" s="65"/>
      <c r="J10" s="65"/>
      <c r="K10" s="65"/>
      <c r="L10" s="65"/>
      <c r="M10" s="65"/>
      <c r="N10" s="819"/>
      <c r="O10" s="418"/>
      <c r="P10" s="2"/>
      <c r="Q10" s="33"/>
      <c r="R10" s="60"/>
      <c r="S10" s="60"/>
      <c r="T10" s="60"/>
      <c r="U10" s="60"/>
      <c r="V10" s="10"/>
      <c r="W10" s="10"/>
    </row>
    <row r="11" spans="1:24" ht="15" customHeight="1" x14ac:dyDescent="0.2">
      <c r="A11" s="808"/>
      <c r="B11" s="61" t="s">
        <v>232</v>
      </c>
      <c r="C11" s="61"/>
      <c r="D11" s="61"/>
      <c r="E11" s="61"/>
      <c r="F11" s="61"/>
      <c r="G11" s="61"/>
      <c r="H11" s="65"/>
      <c r="I11" s="65"/>
      <c r="J11" s="65"/>
      <c r="K11" s="65"/>
      <c r="L11" s="65"/>
      <c r="M11" s="65"/>
      <c r="N11" s="819"/>
      <c r="O11" s="418"/>
      <c r="P11" s="2"/>
      <c r="Q11" s="60"/>
      <c r="R11" s="60"/>
      <c r="S11" s="60"/>
      <c r="T11" s="60"/>
      <c r="U11" s="60"/>
      <c r="V11" s="10"/>
      <c r="W11" s="10"/>
    </row>
    <row r="12" spans="1:24" ht="15" customHeight="1" x14ac:dyDescent="0.2">
      <c r="A12" s="808"/>
      <c r="B12" s="61" t="s">
        <v>829</v>
      </c>
      <c r="C12" s="61"/>
      <c r="D12" s="61"/>
      <c r="E12" s="61"/>
      <c r="F12" s="61"/>
      <c r="G12" s="61"/>
      <c r="H12" s="65"/>
      <c r="I12" s="65"/>
      <c r="J12" s="65"/>
      <c r="K12" s="65"/>
      <c r="L12" s="65"/>
      <c r="M12" s="65"/>
      <c r="N12" s="819"/>
      <c r="O12" s="418"/>
      <c r="P12" s="2"/>
      <c r="Q12" s="602"/>
      <c r="R12" s="60"/>
      <c r="S12" s="60"/>
      <c r="T12" s="60"/>
      <c r="U12" s="60"/>
      <c r="V12" s="10"/>
      <c r="W12" s="10"/>
    </row>
    <row r="13" spans="1:24" ht="15" customHeight="1" x14ac:dyDescent="0.2">
      <c r="A13" s="808"/>
      <c r="B13" s="61" t="s">
        <v>231</v>
      </c>
      <c r="C13" s="61"/>
      <c r="D13" s="61"/>
      <c r="E13" s="61"/>
      <c r="F13" s="61"/>
      <c r="G13" s="61"/>
      <c r="H13" s="65"/>
      <c r="I13" s="65"/>
      <c r="J13" s="65"/>
      <c r="K13" s="65"/>
      <c r="L13" s="65"/>
      <c r="M13" s="65"/>
      <c r="N13" s="819"/>
      <c r="O13" s="418"/>
      <c r="P13" s="2"/>
      <c r="Q13" s="33"/>
      <c r="R13" s="60"/>
      <c r="S13" s="60"/>
      <c r="T13" s="60"/>
      <c r="U13" s="60"/>
      <c r="V13" s="10"/>
      <c r="W13" s="10"/>
    </row>
    <row r="14" spans="1:24" ht="15" customHeight="1" x14ac:dyDescent="0.2">
      <c r="A14" s="808"/>
      <c r="B14" s="835"/>
      <c r="C14" s="836"/>
      <c r="D14" s="836"/>
      <c r="E14" s="836"/>
      <c r="F14" s="836"/>
      <c r="G14" s="836"/>
      <c r="H14" s="837"/>
      <c r="I14" s="837"/>
      <c r="J14" s="837"/>
      <c r="K14" s="837"/>
      <c r="L14" s="837"/>
      <c r="M14" s="837"/>
      <c r="N14" s="838"/>
      <c r="O14" s="418"/>
      <c r="P14" s="2"/>
      <c r="Q14" s="60"/>
      <c r="R14" s="60"/>
      <c r="S14" s="60"/>
      <c r="T14" s="60"/>
      <c r="U14" s="60"/>
      <c r="V14" s="10"/>
      <c r="W14" s="10"/>
    </row>
    <row r="15" spans="1:24" ht="15" customHeight="1" x14ac:dyDescent="0.2">
      <c r="A15" s="808"/>
      <c r="B15" s="995" t="s">
        <v>48</v>
      </c>
      <c r="C15" s="839"/>
      <c r="D15" s="839"/>
      <c r="E15" s="839"/>
      <c r="F15" s="839"/>
      <c r="G15" s="840" t="s">
        <v>455</v>
      </c>
      <c r="H15" s="841"/>
      <c r="I15" s="841"/>
      <c r="J15" s="841"/>
      <c r="K15" s="841"/>
      <c r="L15" s="841"/>
      <c r="M15" s="841"/>
      <c r="N15" s="842"/>
      <c r="O15" s="418"/>
      <c r="P15" s="2"/>
      <c r="Q15" s="602"/>
      <c r="R15" s="60"/>
      <c r="S15" s="60"/>
      <c r="T15" s="60"/>
      <c r="U15" s="60"/>
      <c r="V15" s="10"/>
      <c r="W15" s="10"/>
    </row>
    <row r="16" spans="1:24" ht="15" customHeight="1" thickBot="1" x14ac:dyDescent="0.25">
      <c r="A16" s="808"/>
      <c r="B16" s="62" t="s">
        <v>29</v>
      </c>
      <c r="C16" s="62"/>
      <c r="D16" s="260"/>
      <c r="E16" s="260"/>
      <c r="F16" s="260"/>
      <c r="G16" s="260"/>
      <c r="H16" s="229"/>
      <c r="I16" s="229"/>
      <c r="J16" s="229"/>
      <c r="K16" s="229"/>
      <c r="L16" s="229"/>
      <c r="M16" s="229"/>
      <c r="N16" s="820"/>
      <c r="O16" s="418"/>
      <c r="P16" s="2"/>
      <c r="Q16" s="33"/>
      <c r="R16" s="60"/>
      <c r="S16" s="60"/>
      <c r="T16" s="60"/>
      <c r="U16" s="60"/>
      <c r="V16" s="10"/>
      <c r="W16" s="10"/>
    </row>
    <row r="17" spans="1:23" ht="15" customHeight="1" thickBot="1" x14ac:dyDescent="0.25">
      <c r="A17" s="808"/>
      <c r="B17" s="63" t="s">
        <v>669</v>
      </c>
      <c r="C17" s="263"/>
      <c r="D17" s="264"/>
      <c r="E17" s="646"/>
      <c r="F17" s="265"/>
      <c r="G17" s="266"/>
      <c r="H17" s="267"/>
      <c r="I17" s="267"/>
      <c r="J17" s="267"/>
      <c r="K17" s="267"/>
      <c r="L17" s="267"/>
      <c r="M17" s="267"/>
      <c r="N17" s="821"/>
      <c r="O17" s="418"/>
      <c r="P17" s="2"/>
      <c r="Q17" s="60"/>
      <c r="R17" s="60"/>
      <c r="S17" s="60"/>
      <c r="T17" s="60"/>
      <c r="U17" s="60"/>
      <c r="V17" s="10"/>
      <c r="W17" s="10"/>
    </row>
    <row r="18" spans="1:23" ht="15" customHeight="1" x14ac:dyDescent="0.2">
      <c r="A18" s="808"/>
      <c r="B18" s="62" t="s">
        <v>26</v>
      </c>
      <c r="C18" s="64"/>
      <c r="D18" s="260"/>
      <c r="E18" s="260"/>
      <c r="F18" s="260"/>
      <c r="G18" s="260"/>
      <c r="H18" s="229"/>
      <c r="I18" s="229"/>
      <c r="J18" s="229"/>
      <c r="K18" s="229"/>
      <c r="L18" s="229"/>
      <c r="M18" s="229"/>
      <c r="N18" s="820"/>
      <c r="O18" s="418"/>
      <c r="P18" s="2"/>
      <c r="Q18" s="33"/>
      <c r="R18" s="60"/>
      <c r="S18" s="60"/>
      <c r="T18" s="60"/>
      <c r="U18" s="60"/>
      <c r="V18" s="10"/>
      <c r="W18" s="10"/>
    </row>
    <row r="19" spans="1:23" ht="15" customHeight="1" thickBot="1" x14ac:dyDescent="0.25">
      <c r="A19" s="808"/>
      <c r="B19" s="63" t="s">
        <v>668</v>
      </c>
      <c r="C19" s="63"/>
      <c r="D19" s="268"/>
      <c r="E19" s="266"/>
      <c r="F19" s="266"/>
      <c r="G19" s="266"/>
      <c r="H19" s="267"/>
      <c r="I19" s="267"/>
      <c r="J19" s="267"/>
      <c r="K19" s="267"/>
      <c r="L19" s="267"/>
      <c r="M19" s="267"/>
      <c r="N19" s="821"/>
      <c r="O19" s="418"/>
      <c r="P19" s="2"/>
      <c r="Q19" s="33"/>
      <c r="R19" s="60"/>
      <c r="S19" s="60"/>
      <c r="T19" s="60"/>
      <c r="U19" s="60"/>
      <c r="V19" s="10"/>
      <c r="W19" s="10"/>
    </row>
    <row r="20" spans="1:23" ht="15" customHeight="1" x14ac:dyDescent="0.2">
      <c r="A20" s="808"/>
      <c r="B20" s="64" t="s">
        <v>27</v>
      </c>
      <c r="C20" s="64"/>
      <c r="D20" s="260"/>
      <c r="E20" s="260"/>
      <c r="F20" s="260"/>
      <c r="G20" s="260"/>
      <c r="H20" s="229"/>
      <c r="I20" s="229"/>
      <c r="J20" s="229"/>
      <c r="K20" s="229"/>
      <c r="L20" s="229"/>
      <c r="M20" s="229"/>
      <c r="N20" s="820"/>
      <c r="O20" s="418"/>
      <c r="P20" s="2"/>
      <c r="Q20" s="60"/>
      <c r="R20" s="60"/>
      <c r="S20" s="60"/>
      <c r="T20" s="60"/>
      <c r="U20" s="60"/>
      <c r="V20" s="10"/>
      <c r="W20" s="10"/>
    </row>
    <row r="21" spans="1:23" ht="15" customHeight="1" thickBot="1" x14ac:dyDescent="0.25">
      <c r="A21" s="808"/>
      <c r="B21" s="63" t="s">
        <v>666</v>
      </c>
      <c r="C21" s="63"/>
      <c r="D21" s="261"/>
      <c r="E21" s="261"/>
      <c r="F21" s="261"/>
      <c r="G21" s="261"/>
      <c r="H21" s="262"/>
      <c r="I21" s="262"/>
      <c r="J21" s="262"/>
      <c r="K21" s="267"/>
      <c r="L21" s="267"/>
      <c r="M21" s="267"/>
      <c r="N21" s="822"/>
      <c r="O21" s="418"/>
      <c r="P21" s="2"/>
      <c r="Q21" s="33"/>
      <c r="R21" s="60"/>
      <c r="S21" s="60"/>
      <c r="T21" s="60"/>
      <c r="U21" s="60"/>
      <c r="V21" s="10"/>
      <c r="W21" s="10"/>
    </row>
    <row r="22" spans="1:23" ht="15" customHeight="1" x14ac:dyDescent="0.2">
      <c r="A22" s="808"/>
      <c r="B22" s="64" t="s">
        <v>28</v>
      </c>
      <c r="C22" s="280"/>
      <c r="D22" s="260"/>
      <c r="E22" s="260"/>
      <c r="F22" s="260"/>
      <c r="G22" s="260"/>
      <c r="H22" s="229"/>
      <c r="I22" s="229"/>
      <c r="J22" s="229"/>
      <c r="K22" s="229"/>
      <c r="L22" s="229"/>
      <c r="M22" s="229"/>
      <c r="N22" s="820"/>
      <c r="O22" s="418"/>
      <c r="P22" s="2"/>
      <c r="Q22" s="60"/>
      <c r="R22" s="60"/>
      <c r="S22" s="60"/>
      <c r="T22" s="60"/>
      <c r="U22" s="60"/>
      <c r="V22" s="10"/>
      <c r="W22" s="10"/>
    </row>
    <row r="23" spans="1:23" ht="15" customHeight="1" thickBot="1" x14ac:dyDescent="0.25">
      <c r="A23" s="808"/>
      <c r="B23" s="823" t="s">
        <v>667</v>
      </c>
      <c r="C23" s="831"/>
      <c r="D23" s="828"/>
      <c r="E23" s="828"/>
      <c r="F23" s="828"/>
      <c r="G23" s="828"/>
      <c r="H23" s="829"/>
      <c r="I23" s="829"/>
      <c r="J23" s="829"/>
      <c r="K23" s="829"/>
      <c r="L23" s="829"/>
      <c r="M23" s="829"/>
      <c r="N23" s="830"/>
      <c r="O23" s="418"/>
      <c r="P23" s="2"/>
      <c r="Q23" s="33"/>
      <c r="R23" s="60"/>
      <c r="S23" s="60"/>
      <c r="T23" s="60"/>
      <c r="U23" s="60"/>
      <c r="V23" s="10"/>
      <c r="W23" s="10"/>
    </row>
    <row r="24" spans="1:23" ht="15" customHeight="1" x14ac:dyDescent="0.2">
      <c r="A24" s="1"/>
      <c r="B24" s="217"/>
      <c r="C24" s="217"/>
      <c r="D24" s="983"/>
      <c r="E24" s="260"/>
      <c r="F24" s="260"/>
      <c r="G24" s="260"/>
      <c r="H24" s="229"/>
      <c r="I24" s="229"/>
      <c r="J24" s="229"/>
      <c r="K24" s="229"/>
      <c r="L24" s="229"/>
      <c r="M24" s="229"/>
      <c r="N24" s="273"/>
      <c r="O24" s="418"/>
      <c r="P24" s="2"/>
      <c r="Q24" s="33"/>
      <c r="R24" s="60"/>
      <c r="S24" s="60"/>
      <c r="T24" s="60"/>
      <c r="U24" s="60"/>
      <c r="V24" s="10"/>
      <c r="W24" s="10"/>
    </row>
    <row r="25" spans="1:23" ht="15" customHeight="1" thickBot="1" x14ac:dyDescent="0.25">
      <c r="A25" s="1"/>
      <c r="B25" s="888"/>
      <c r="C25" s="888"/>
      <c r="D25" s="810"/>
      <c r="E25" s="889"/>
      <c r="F25" s="888"/>
      <c r="G25" s="888"/>
      <c r="H25" s="888"/>
      <c r="I25" s="890"/>
      <c r="J25" s="890"/>
      <c r="K25" s="890"/>
      <c r="L25" s="890"/>
      <c r="M25" s="890"/>
      <c r="N25" s="891"/>
      <c r="O25" s="401"/>
      <c r="P25" s="2"/>
      <c r="Q25" s="33"/>
      <c r="R25" s="60"/>
      <c r="S25" s="60"/>
      <c r="T25" s="60"/>
      <c r="U25" s="60"/>
      <c r="V25" s="60"/>
    </row>
    <row r="26" spans="1:23" ht="7.5" customHeight="1" x14ac:dyDescent="0.2">
      <c r="A26" s="808"/>
      <c r="B26" s="979"/>
      <c r="C26" s="980"/>
      <c r="D26" s="980"/>
      <c r="E26" s="980"/>
      <c r="F26" s="980"/>
      <c r="G26" s="980"/>
      <c r="H26" s="980"/>
      <c r="I26" s="980"/>
      <c r="J26" s="980"/>
      <c r="K26" s="980"/>
      <c r="L26" s="980"/>
      <c r="M26" s="980"/>
      <c r="N26" s="996"/>
      <c r="O26" s="401"/>
      <c r="P26" s="2"/>
      <c r="Q26" s="60"/>
      <c r="R26" s="60"/>
      <c r="S26" s="60"/>
      <c r="T26" s="60"/>
      <c r="U26" s="60"/>
      <c r="V26" s="60"/>
    </row>
    <row r="27" spans="1:23" ht="30" customHeight="1" x14ac:dyDescent="0.2">
      <c r="A27" s="808"/>
      <c r="B27" s="551" t="s">
        <v>830</v>
      </c>
      <c r="C27" s="456"/>
      <c r="D27" s="456"/>
      <c r="E27" s="456"/>
      <c r="F27" s="456"/>
      <c r="G27" s="456"/>
      <c r="H27" s="456"/>
      <c r="I27" s="456"/>
      <c r="J27" s="456"/>
      <c r="K27" s="456"/>
      <c r="L27" s="456"/>
      <c r="M27" s="456"/>
      <c r="N27" s="893"/>
      <c r="O27" s="401"/>
      <c r="P27" s="2"/>
      <c r="Q27" s="602"/>
      <c r="R27" s="60"/>
      <c r="S27" s="60"/>
      <c r="T27" s="60"/>
      <c r="U27" s="60"/>
      <c r="V27" s="60"/>
    </row>
    <row r="28" spans="1:23" ht="13.5" customHeight="1" x14ac:dyDescent="0.2">
      <c r="A28" s="808"/>
      <c r="B28" s="419"/>
      <c r="C28" s="419"/>
      <c r="D28" s="457" t="s">
        <v>969</v>
      </c>
      <c r="E28" s="457"/>
      <c r="F28" s="457"/>
      <c r="G28" s="457"/>
      <c r="H28" s="457"/>
      <c r="I28" s="457"/>
      <c r="J28" s="457"/>
      <c r="K28" s="457"/>
      <c r="L28" s="457"/>
      <c r="M28" s="457"/>
      <c r="N28" s="894"/>
      <c r="O28" s="401"/>
      <c r="P28" s="2"/>
      <c r="Q28" s="602"/>
      <c r="R28" s="60"/>
      <c r="S28" s="60"/>
      <c r="T28" s="60"/>
      <c r="U28" s="60"/>
      <c r="V28" s="60"/>
    </row>
    <row r="29" spans="1:23" ht="13.5" customHeight="1" x14ac:dyDescent="0.2">
      <c r="A29" s="808"/>
      <c r="B29" s="419"/>
      <c r="C29" s="419"/>
      <c r="D29" s="457" t="s">
        <v>1134</v>
      </c>
      <c r="E29" s="457"/>
      <c r="F29" s="457"/>
      <c r="G29" s="457"/>
      <c r="H29" s="457"/>
      <c r="I29" s="457"/>
      <c r="J29" s="457"/>
      <c r="K29" s="457"/>
      <c r="L29" s="457"/>
      <c r="M29" s="457"/>
      <c r="N29" s="894"/>
      <c r="O29" s="401"/>
      <c r="P29" s="2"/>
      <c r="Q29" s="602"/>
      <c r="R29" s="60"/>
      <c r="S29" s="60"/>
      <c r="T29" s="60"/>
      <c r="U29" s="60"/>
      <c r="V29" s="60"/>
    </row>
    <row r="30" spans="1:23" ht="13.5" customHeight="1" x14ac:dyDescent="0.2">
      <c r="A30" s="808"/>
      <c r="B30" s="419"/>
      <c r="C30" s="419"/>
      <c r="D30" s="458" t="s">
        <v>1085</v>
      </c>
      <c r="E30" s="458"/>
      <c r="F30" s="457"/>
      <c r="G30" s="457"/>
      <c r="H30" s="457"/>
      <c r="I30" s="457"/>
      <c r="J30" s="457"/>
      <c r="K30" s="457"/>
      <c r="L30" s="457"/>
      <c r="M30" s="457"/>
      <c r="N30" s="894"/>
      <c r="O30" s="401"/>
      <c r="P30" s="2"/>
      <c r="Q30" s="33"/>
      <c r="R30" s="60"/>
      <c r="S30" s="60"/>
      <c r="T30" s="60"/>
      <c r="U30" s="60"/>
      <c r="V30" s="60"/>
    </row>
    <row r="31" spans="1:23" ht="13.5" customHeight="1" x14ac:dyDescent="0.2">
      <c r="A31" s="808"/>
      <c r="B31" s="419"/>
      <c r="C31" s="419"/>
      <c r="D31" s="458" t="s">
        <v>940</v>
      </c>
      <c r="E31" s="458"/>
      <c r="F31" s="457"/>
      <c r="G31" s="457"/>
      <c r="H31" s="457"/>
      <c r="I31" s="457"/>
      <c r="J31" s="457"/>
      <c r="K31" s="457"/>
      <c r="L31" s="457"/>
      <c r="M31" s="457"/>
      <c r="N31" s="894"/>
      <c r="O31" s="401"/>
      <c r="P31" s="2"/>
      <c r="Q31" s="60"/>
      <c r="R31" s="60"/>
      <c r="S31" s="60"/>
      <c r="T31" s="60"/>
      <c r="U31" s="60"/>
      <c r="V31" s="60"/>
    </row>
    <row r="32" spans="1:23" ht="13.5" customHeight="1" x14ac:dyDescent="0.2">
      <c r="A32" s="808"/>
      <c r="B32" s="419"/>
      <c r="C32" s="419"/>
      <c r="D32" s="458" t="s">
        <v>246</v>
      </c>
      <c r="E32" s="458"/>
      <c r="F32" s="457"/>
      <c r="G32" s="457"/>
      <c r="H32" s="457"/>
      <c r="I32" s="457"/>
      <c r="J32" s="457"/>
      <c r="K32" s="457"/>
      <c r="L32" s="457"/>
      <c r="M32" s="457"/>
      <c r="N32" s="894"/>
      <c r="O32" s="401"/>
      <c r="P32" s="2"/>
      <c r="Q32" s="33"/>
      <c r="R32" s="60"/>
      <c r="S32" s="60"/>
      <c r="T32" s="60"/>
      <c r="U32" s="60"/>
      <c r="V32" s="60"/>
    </row>
    <row r="33" spans="1:22" ht="13.5" customHeight="1" x14ac:dyDescent="0.2">
      <c r="A33" s="808"/>
      <c r="B33" s="419"/>
      <c r="C33" s="419"/>
      <c r="D33" s="458" t="s">
        <v>247</v>
      </c>
      <c r="E33" s="458"/>
      <c r="F33" s="457"/>
      <c r="G33" s="457"/>
      <c r="H33" s="457"/>
      <c r="I33" s="457"/>
      <c r="J33" s="457"/>
      <c r="K33" s="457"/>
      <c r="L33" s="457"/>
      <c r="M33" s="457"/>
      <c r="N33" s="894"/>
      <c r="O33" s="401"/>
      <c r="P33" s="2"/>
      <c r="Q33" s="33"/>
      <c r="R33" s="60"/>
      <c r="S33" s="60"/>
      <c r="T33" s="60"/>
      <c r="U33" s="60"/>
      <c r="V33" s="60"/>
    </row>
    <row r="34" spans="1:22" ht="13.5" customHeight="1" x14ac:dyDescent="0.2">
      <c r="A34" s="808"/>
      <c r="B34" s="419"/>
      <c r="C34" s="419"/>
      <c r="D34" s="458" t="s">
        <v>144</v>
      </c>
      <c r="E34" s="458"/>
      <c r="F34" s="457"/>
      <c r="G34" s="457"/>
      <c r="H34" s="457"/>
      <c r="I34" s="457"/>
      <c r="J34" s="457"/>
      <c r="K34" s="457"/>
      <c r="L34" s="457"/>
      <c r="M34" s="457"/>
      <c r="N34" s="894"/>
      <c r="O34" s="401"/>
      <c r="P34" s="2"/>
      <c r="Q34" s="33"/>
      <c r="R34" s="60"/>
      <c r="S34" s="60"/>
      <c r="T34" s="60"/>
      <c r="U34" s="60"/>
      <c r="V34" s="60"/>
    </row>
    <row r="35" spans="1:22" ht="13.5" customHeight="1" x14ac:dyDescent="0.2">
      <c r="A35" s="808"/>
      <c r="B35" s="419"/>
      <c r="C35" s="419"/>
      <c r="D35" s="458" t="s">
        <v>248</v>
      </c>
      <c r="E35" s="458"/>
      <c r="F35" s="457"/>
      <c r="G35" s="457"/>
      <c r="H35" s="457"/>
      <c r="I35" s="457"/>
      <c r="J35" s="457"/>
      <c r="K35" s="457"/>
      <c r="L35" s="457"/>
      <c r="M35" s="457"/>
      <c r="N35" s="894"/>
      <c r="O35" s="401"/>
      <c r="P35" s="2"/>
      <c r="Q35" s="60"/>
      <c r="R35" s="60"/>
      <c r="S35" s="60"/>
      <c r="T35" s="60"/>
      <c r="U35" s="60"/>
      <c r="V35" s="60"/>
    </row>
    <row r="36" spans="1:22" ht="13.5" customHeight="1" x14ac:dyDescent="0.2">
      <c r="A36" s="808"/>
      <c r="B36" s="1928"/>
      <c r="C36" s="1928"/>
      <c r="D36" s="457" t="s">
        <v>848</v>
      </c>
      <c r="E36" s="457"/>
      <c r="F36" s="459"/>
      <c r="G36" s="459"/>
      <c r="H36" s="459"/>
      <c r="I36" s="459"/>
      <c r="J36" s="459"/>
      <c r="K36" s="459"/>
      <c r="L36" s="459"/>
      <c r="M36" s="459"/>
      <c r="N36" s="895"/>
      <c r="O36" s="401"/>
      <c r="P36" s="2"/>
      <c r="Q36" s="33"/>
      <c r="R36" s="60"/>
      <c r="S36" s="60"/>
      <c r="T36" s="60"/>
      <c r="U36" s="60"/>
      <c r="V36" s="60"/>
    </row>
    <row r="37" spans="1:22" ht="13.5" customHeight="1" x14ac:dyDescent="0.2">
      <c r="A37" s="808"/>
      <c r="B37" s="419"/>
      <c r="C37" s="419"/>
      <c r="D37" s="457" t="s">
        <v>1093</v>
      </c>
      <c r="E37" s="457"/>
      <c r="F37" s="459"/>
      <c r="G37" s="459"/>
      <c r="H37" s="459"/>
      <c r="I37" s="459"/>
      <c r="J37" s="459"/>
      <c r="K37" s="459"/>
      <c r="L37" s="459"/>
      <c r="M37" s="459"/>
      <c r="N37" s="895"/>
      <c r="O37" s="401"/>
      <c r="P37" s="2"/>
      <c r="Q37" s="602"/>
      <c r="R37" s="60"/>
      <c r="S37" s="60"/>
      <c r="T37" s="60"/>
      <c r="U37" s="60"/>
      <c r="V37" s="60"/>
    </row>
    <row r="38" spans="1:22" ht="13.5" customHeight="1" thickBot="1" x14ac:dyDescent="0.25">
      <c r="A38" s="808"/>
      <c r="B38" s="896"/>
      <c r="C38" s="896"/>
      <c r="D38" s="897"/>
      <c r="E38" s="897"/>
      <c r="F38" s="898"/>
      <c r="G38" s="898"/>
      <c r="H38" s="898"/>
      <c r="I38" s="898"/>
      <c r="J38" s="898"/>
      <c r="K38" s="898"/>
      <c r="L38" s="898"/>
      <c r="M38" s="898"/>
      <c r="N38" s="899"/>
      <c r="O38" s="401"/>
      <c r="P38" s="2"/>
      <c r="Q38" s="33"/>
      <c r="R38" s="60"/>
      <c r="S38" s="60"/>
      <c r="T38" s="60"/>
      <c r="U38" s="60"/>
      <c r="V38" s="60"/>
    </row>
    <row r="39" spans="1:22" ht="13.5" customHeight="1" x14ac:dyDescent="0.2">
      <c r="A39" s="1"/>
      <c r="B39" s="419"/>
      <c r="C39" s="419"/>
      <c r="D39" s="457"/>
      <c r="E39" s="457"/>
      <c r="F39" s="459"/>
      <c r="G39" s="459"/>
      <c r="H39" s="459"/>
      <c r="I39" s="462"/>
      <c r="J39" s="459"/>
      <c r="K39" s="459"/>
      <c r="L39" s="459"/>
      <c r="M39" s="461"/>
      <c r="N39" s="461"/>
      <c r="O39" s="401"/>
      <c r="P39" s="2"/>
      <c r="Q39" s="33"/>
      <c r="R39" s="60"/>
      <c r="S39" s="60"/>
      <c r="T39" s="60"/>
      <c r="U39" s="60"/>
      <c r="V39" s="60"/>
    </row>
    <row r="40" spans="1:22" ht="15" customHeight="1" x14ac:dyDescent="0.2">
      <c r="A40" s="1"/>
      <c r="B40" s="419"/>
      <c r="C40" s="419"/>
      <c r="D40" s="457"/>
      <c r="E40" s="457"/>
      <c r="F40" s="459"/>
      <c r="G40" s="459"/>
      <c r="H40" s="459"/>
      <c r="I40" s="462"/>
      <c r="J40" s="282"/>
      <c r="K40" s="459"/>
      <c r="L40" s="459"/>
      <c r="M40" s="459"/>
      <c r="N40" s="462"/>
      <c r="O40" s="401"/>
      <c r="P40" s="2"/>
      <c r="Q40" s="33"/>
      <c r="R40" s="60"/>
      <c r="S40" s="60"/>
      <c r="T40" s="60"/>
      <c r="U40" s="60"/>
      <c r="V40" s="60"/>
    </row>
    <row r="41" spans="1:22" ht="15" customHeight="1" x14ac:dyDescent="0.2">
      <c r="A41" s="1"/>
      <c r="B41" s="419"/>
      <c r="C41" s="419"/>
      <c r="D41" s="520"/>
      <c r="E41" s="520"/>
      <c r="F41" s="521"/>
      <c r="G41" s="521"/>
      <c r="H41" s="521"/>
      <c r="I41" s="556"/>
      <c r="J41" s="807"/>
      <c r="K41" s="521"/>
      <c r="L41" s="521"/>
      <c r="M41" s="653"/>
      <c r="N41" s="650"/>
      <c r="O41" s="401"/>
      <c r="P41" s="2"/>
      <c r="Q41" s="33"/>
      <c r="R41" s="60"/>
      <c r="S41" s="60"/>
      <c r="T41" s="60"/>
      <c r="U41" s="60"/>
      <c r="V41" s="60"/>
    </row>
    <row r="42" spans="1:22" ht="15" customHeight="1" x14ac:dyDescent="0.25">
      <c r="A42" s="1"/>
      <c r="B42" s="419"/>
      <c r="C42" s="419"/>
      <c r="D42" s="478" t="s">
        <v>117</v>
      </c>
      <c r="E42" s="478"/>
      <c r="F42" s="521"/>
      <c r="G42" s="521"/>
      <c r="H42" s="521"/>
      <c r="I42" s="556"/>
      <c r="J42" s="557"/>
      <c r="K42" s="521"/>
      <c r="L42" s="521"/>
      <c r="M42" s="654"/>
      <c r="N42" s="651"/>
      <c r="O42" s="401"/>
      <c r="P42" s="2"/>
      <c r="Q42" s="33"/>
      <c r="R42" s="60"/>
      <c r="S42" s="60"/>
      <c r="T42" s="60"/>
      <c r="U42" s="60"/>
      <c r="V42" s="60"/>
    </row>
    <row r="43" spans="1:22" ht="15" customHeight="1" thickBot="1" x14ac:dyDescent="0.25">
      <c r="A43" s="1"/>
      <c r="B43" s="896"/>
      <c r="C43" s="896"/>
      <c r="D43" s="897" t="s">
        <v>818</v>
      </c>
      <c r="E43" s="897"/>
      <c r="F43" s="898"/>
      <c r="G43" s="898"/>
      <c r="H43" s="898"/>
      <c r="I43" s="898"/>
      <c r="J43" s="984"/>
      <c r="K43" s="898"/>
      <c r="L43" s="898"/>
      <c r="M43" s="898"/>
      <c r="N43" s="898"/>
      <c r="O43" s="401"/>
      <c r="P43" s="2"/>
      <c r="Q43" s="60"/>
      <c r="R43" s="60"/>
      <c r="S43" s="60"/>
      <c r="T43" s="60"/>
      <c r="U43" s="60"/>
      <c r="V43" s="60"/>
    </row>
    <row r="44" spans="1:22" ht="15" customHeight="1" x14ac:dyDescent="0.2">
      <c r="A44" s="808"/>
      <c r="B44" s="502" t="s">
        <v>535</v>
      </c>
      <c r="C44" s="905"/>
      <c r="D44" s="906" t="s">
        <v>821</v>
      </c>
      <c r="E44" s="907" t="s">
        <v>820</v>
      </c>
      <c r="F44" s="908" t="s">
        <v>84</v>
      </c>
      <c r="G44" s="909"/>
      <c r="H44" s="909"/>
      <c r="I44" s="909"/>
      <c r="J44" s="909"/>
      <c r="K44" s="909"/>
      <c r="L44" s="909"/>
      <c r="M44" s="905"/>
      <c r="N44" s="910"/>
      <c r="O44" s="401"/>
      <c r="P44" s="2"/>
      <c r="Q44" s="33"/>
      <c r="R44" s="60"/>
      <c r="S44" s="60"/>
      <c r="T44" s="60"/>
      <c r="U44" s="60"/>
      <c r="V44" s="60"/>
    </row>
    <row r="45" spans="1:22" ht="56.25" customHeight="1" thickBot="1" x14ac:dyDescent="0.25">
      <c r="A45" s="808"/>
      <c r="B45" s="985" t="s">
        <v>698</v>
      </c>
      <c r="C45" s="997"/>
      <c r="D45" s="998">
        <f>ИБ2</f>
        <v>56000</v>
      </c>
      <c r="E45" s="998">
        <f>SUM(D45*1.25)</f>
        <v>70000</v>
      </c>
      <c r="F45" s="2026" t="s">
        <v>941</v>
      </c>
      <c r="G45" s="1920"/>
      <c r="H45" s="1920"/>
      <c r="I45" s="1920"/>
      <c r="J45" s="1920"/>
      <c r="K45" s="1920"/>
      <c r="L45" s="1920"/>
      <c r="M45" s="1920"/>
      <c r="N45" s="1921"/>
      <c r="O45" s="401"/>
      <c r="P45" s="2"/>
      <c r="Q45" s="60"/>
      <c r="R45" s="60"/>
      <c r="S45" s="60"/>
      <c r="T45" s="60"/>
      <c r="U45" s="60"/>
      <c r="V45" s="60"/>
    </row>
    <row r="46" spans="1:22" ht="15" customHeight="1" x14ac:dyDescent="0.2">
      <c r="A46" s="2"/>
      <c r="B46" s="393"/>
      <c r="C46" s="419"/>
      <c r="D46" s="457"/>
      <c r="E46" s="457"/>
      <c r="F46" s="462"/>
      <c r="G46" s="462"/>
      <c r="H46" s="462"/>
      <c r="I46" s="462"/>
      <c r="J46" s="462"/>
      <c r="K46" s="462"/>
      <c r="L46" s="462"/>
      <c r="M46" s="462"/>
      <c r="N46" s="254"/>
      <c r="O46" s="401"/>
      <c r="P46" s="2"/>
      <c r="Q46" s="33"/>
      <c r="R46" s="60"/>
      <c r="S46" s="60"/>
      <c r="T46" s="60"/>
      <c r="U46" s="60"/>
      <c r="V46" s="60"/>
    </row>
    <row r="47" spans="1:22" ht="15" customHeight="1" x14ac:dyDescent="0.2">
      <c r="A47" s="2"/>
      <c r="B47" s="419"/>
      <c r="C47" s="419"/>
      <c r="D47" s="457"/>
      <c r="E47" s="457"/>
      <c r="F47" s="459"/>
      <c r="G47" s="459"/>
      <c r="H47" s="459"/>
      <c r="I47" s="459"/>
      <c r="J47" s="459"/>
      <c r="K47" s="459"/>
      <c r="L47" s="459"/>
      <c r="M47" s="462"/>
      <c r="N47" s="462"/>
      <c r="O47" s="401"/>
      <c r="P47" s="2"/>
      <c r="Q47" s="33"/>
      <c r="R47" s="60"/>
      <c r="S47" s="60"/>
      <c r="T47" s="60"/>
      <c r="U47" s="60"/>
      <c r="V47" s="60"/>
    </row>
    <row r="48" spans="1:22" ht="15" customHeight="1" x14ac:dyDescent="0.2">
      <c r="A48" s="1"/>
      <c r="B48" s="419"/>
      <c r="C48" s="419"/>
      <c r="D48" s="520"/>
      <c r="E48" s="520"/>
      <c r="F48" s="521"/>
      <c r="G48" s="521"/>
      <c r="H48" s="521"/>
      <c r="I48" s="521"/>
      <c r="J48" s="521"/>
      <c r="K48" s="521"/>
      <c r="L48" s="521"/>
      <c r="M48" s="653"/>
      <c r="N48" s="652"/>
      <c r="O48" s="401"/>
      <c r="P48" s="2"/>
      <c r="Q48" s="60"/>
      <c r="R48" s="60"/>
      <c r="S48" s="60"/>
      <c r="T48" s="60"/>
      <c r="U48" s="60"/>
      <c r="V48" s="60"/>
    </row>
    <row r="49" spans="1:22" ht="15" customHeight="1" x14ac:dyDescent="0.25">
      <c r="A49" s="1"/>
      <c r="B49" s="419"/>
      <c r="C49" s="419"/>
      <c r="D49" s="478" t="s">
        <v>116</v>
      </c>
      <c r="E49" s="478"/>
      <c r="F49" s="521"/>
      <c r="G49" s="521"/>
      <c r="H49" s="521"/>
      <c r="I49" s="521"/>
      <c r="J49" s="521"/>
      <c r="K49" s="521"/>
      <c r="L49" s="521"/>
      <c r="M49" s="654"/>
      <c r="N49" s="650"/>
      <c r="O49" s="401"/>
      <c r="P49" s="2"/>
      <c r="Q49" s="602"/>
      <c r="R49" s="60"/>
      <c r="S49" s="60"/>
      <c r="T49" s="60"/>
      <c r="U49" s="60"/>
      <c r="V49" s="60"/>
    </row>
    <row r="50" spans="1:22" ht="15" customHeight="1" thickBot="1" x14ac:dyDescent="0.25">
      <c r="A50" s="1"/>
      <c r="B50" s="896"/>
      <c r="C50" s="896"/>
      <c r="D50" s="897" t="s">
        <v>818</v>
      </c>
      <c r="E50" s="897"/>
      <c r="F50" s="898"/>
      <c r="G50" s="898"/>
      <c r="H50" s="898"/>
      <c r="I50" s="898"/>
      <c r="J50" s="898"/>
      <c r="K50" s="898"/>
      <c r="L50" s="898"/>
      <c r="M50" s="898"/>
      <c r="N50" s="898"/>
      <c r="O50" s="401"/>
      <c r="P50" s="2"/>
      <c r="Q50" s="33"/>
      <c r="R50" s="60"/>
      <c r="S50" s="60"/>
      <c r="T50" s="60"/>
      <c r="U50" s="60"/>
      <c r="V50" s="60"/>
    </row>
    <row r="51" spans="1:22" ht="15" customHeight="1" x14ac:dyDescent="0.2">
      <c r="A51" s="808"/>
      <c r="B51" s="911" t="s">
        <v>535</v>
      </c>
      <c r="C51" s="905"/>
      <c r="D51" s="906" t="s">
        <v>821</v>
      </c>
      <c r="E51" s="907" t="s">
        <v>820</v>
      </c>
      <c r="F51" s="908" t="s">
        <v>84</v>
      </c>
      <c r="G51" s="909"/>
      <c r="H51" s="909"/>
      <c r="I51" s="909"/>
      <c r="J51" s="909"/>
      <c r="K51" s="909"/>
      <c r="L51" s="909"/>
      <c r="M51" s="905"/>
      <c r="N51" s="910"/>
      <c r="O51" s="401"/>
      <c r="P51" s="2"/>
      <c r="Q51" s="60"/>
      <c r="R51" s="60"/>
      <c r="S51" s="60"/>
      <c r="T51" s="60"/>
      <c r="U51" s="60"/>
      <c r="V51" s="60"/>
    </row>
    <row r="52" spans="1:22" ht="73.5" customHeight="1" thickBot="1" x14ac:dyDescent="0.25">
      <c r="A52" s="808"/>
      <c r="B52" s="999" t="s">
        <v>699</v>
      </c>
      <c r="C52" s="997"/>
      <c r="D52" s="998">
        <f>ИБ4</f>
        <v>77000</v>
      </c>
      <c r="E52" s="998">
        <f>SUM(D52*1.25)</f>
        <v>96250</v>
      </c>
      <c r="F52" s="2026" t="s">
        <v>942</v>
      </c>
      <c r="G52" s="1920"/>
      <c r="H52" s="1920"/>
      <c r="I52" s="1920"/>
      <c r="J52" s="1920"/>
      <c r="K52" s="1920"/>
      <c r="L52" s="1920"/>
      <c r="M52" s="1920"/>
      <c r="N52" s="1921"/>
      <c r="O52" s="401"/>
      <c r="P52" s="2"/>
      <c r="Q52" s="33"/>
      <c r="R52" s="60"/>
      <c r="S52" s="60"/>
      <c r="T52" s="60"/>
      <c r="U52" s="60"/>
      <c r="V52" s="60"/>
    </row>
    <row r="53" spans="1:22" ht="15" customHeight="1" x14ac:dyDescent="0.2">
      <c r="A53" s="2"/>
      <c r="B53" s="393"/>
      <c r="C53" s="419"/>
      <c r="D53" s="642" t="s">
        <v>826</v>
      </c>
      <c r="E53" s="463"/>
      <c r="F53" s="370"/>
      <c r="G53" s="370"/>
      <c r="H53" s="370"/>
      <c r="I53" s="370"/>
      <c r="J53" s="370"/>
      <c r="K53" s="370"/>
      <c r="L53" s="397"/>
      <c r="M53" s="397"/>
      <c r="N53" s="254"/>
      <c r="O53" s="401"/>
      <c r="P53" s="2"/>
      <c r="Q53" s="33"/>
      <c r="R53" s="60"/>
      <c r="S53" s="60"/>
      <c r="T53" s="60"/>
      <c r="U53" s="60"/>
      <c r="V53" s="60"/>
    </row>
    <row r="54" spans="1:22" ht="29.25" customHeight="1" thickBot="1" x14ac:dyDescent="0.25">
      <c r="A54" s="2"/>
      <c r="B54" s="925" t="s">
        <v>841</v>
      </c>
      <c r="C54" s="926"/>
      <c r="D54" s="927"/>
      <c r="E54" s="927"/>
      <c r="F54" s="928"/>
      <c r="G54" s="929"/>
      <c r="H54" s="930" t="s">
        <v>842</v>
      </c>
      <c r="I54" s="929"/>
      <c r="J54" s="931"/>
      <c r="K54" s="931"/>
      <c r="L54" s="931"/>
      <c r="M54" s="931"/>
      <c r="N54" s="931"/>
      <c r="O54" s="467"/>
      <c r="P54" s="2"/>
      <c r="Q54" s="33"/>
      <c r="R54" s="60"/>
      <c r="S54" s="60"/>
      <c r="T54" s="60"/>
      <c r="U54" s="60"/>
      <c r="V54" s="60"/>
    </row>
    <row r="55" spans="1:22" ht="16.5" customHeight="1" x14ac:dyDescent="0.2">
      <c r="A55" s="808"/>
      <c r="B55" s="911" t="s">
        <v>535</v>
      </c>
      <c r="C55" s="905"/>
      <c r="D55" s="906" t="s">
        <v>821</v>
      </c>
      <c r="E55" s="907" t="s">
        <v>820</v>
      </c>
      <c r="F55" s="908" t="s">
        <v>276</v>
      </c>
      <c r="G55" s="909"/>
      <c r="H55" s="909"/>
      <c r="I55" s="909"/>
      <c r="J55" s="909"/>
      <c r="K55" s="909"/>
      <c r="L55" s="909"/>
      <c r="M55" s="905"/>
      <c r="N55" s="910"/>
      <c r="O55" s="467"/>
      <c r="P55" s="2"/>
      <c r="Q55" s="60"/>
      <c r="R55" s="60"/>
      <c r="S55" s="60"/>
      <c r="T55" s="60"/>
      <c r="U55" s="60"/>
      <c r="V55" s="60"/>
    </row>
    <row r="56" spans="1:22" ht="16.5" customHeight="1" x14ac:dyDescent="0.2">
      <c r="A56" s="808"/>
      <c r="B56" s="912" t="s">
        <v>34</v>
      </c>
      <c r="C56" s="360"/>
      <c r="D56" s="367"/>
      <c r="E56" s="367"/>
      <c r="F56" s="367"/>
      <c r="G56" s="361"/>
      <c r="H56" s="362"/>
      <c r="I56" s="368"/>
      <c r="J56" s="368"/>
      <c r="K56" s="369"/>
      <c r="L56" s="368"/>
      <c r="M56" s="368"/>
      <c r="N56" s="916"/>
      <c r="O56" s="467"/>
      <c r="P56" s="2"/>
      <c r="Q56" s="602"/>
      <c r="R56" s="60"/>
      <c r="S56" s="60"/>
      <c r="T56" s="60"/>
      <c r="U56" s="60"/>
      <c r="V56" s="60"/>
    </row>
    <row r="57" spans="1:22" ht="16.5" customHeight="1" x14ac:dyDescent="0.25">
      <c r="A57" s="808"/>
      <c r="B57" s="912"/>
      <c r="C57" s="360"/>
      <c r="D57" s="359" t="s">
        <v>995</v>
      </c>
      <c r="E57" s="359"/>
      <c r="F57" s="367"/>
      <c r="G57" s="361"/>
      <c r="H57" s="362"/>
      <c r="I57" s="368"/>
      <c r="J57" s="368"/>
      <c r="K57" s="369"/>
      <c r="L57" s="368"/>
      <c r="M57" s="368"/>
      <c r="N57" s="916"/>
      <c r="O57" s="467"/>
      <c r="P57" s="2"/>
      <c r="Q57" s="33"/>
      <c r="R57" s="60"/>
      <c r="S57" s="60"/>
      <c r="T57" s="60"/>
      <c r="U57" s="60"/>
      <c r="V57" s="60"/>
    </row>
    <row r="58" spans="1:22" ht="16.5" customHeight="1" x14ac:dyDescent="0.25">
      <c r="A58" s="808"/>
      <c r="B58" s="913"/>
      <c r="C58" s="359"/>
      <c r="D58" s="359"/>
      <c r="E58" s="359"/>
      <c r="F58" s="365"/>
      <c r="G58" s="366"/>
      <c r="H58" s="366"/>
      <c r="I58" s="364"/>
      <c r="J58" s="364"/>
      <c r="K58" s="358"/>
      <c r="L58" s="363"/>
      <c r="M58" s="364"/>
      <c r="N58" s="917"/>
      <c r="O58" s="467"/>
      <c r="P58" s="2"/>
      <c r="Q58" s="33"/>
      <c r="R58" s="60"/>
      <c r="S58" s="60"/>
      <c r="T58" s="60"/>
      <c r="U58" s="60"/>
      <c r="V58" s="60"/>
    </row>
    <row r="59" spans="1:22" ht="16.5" customHeight="1" thickBot="1" x14ac:dyDescent="0.25">
      <c r="A59" s="808"/>
      <c r="B59" s="914" t="s">
        <v>145</v>
      </c>
      <c r="C59" s="553"/>
      <c r="D59" s="708">
        <f>Опц_ИБП_ИБ</f>
        <v>18200</v>
      </c>
      <c r="E59" s="720">
        <f>SUM(D59*1.25)</f>
        <v>22750</v>
      </c>
      <c r="F59" s="2028" t="s">
        <v>268</v>
      </c>
      <c r="G59" s="1920"/>
      <c r="H59" s="1920"/>
      <c r="I59" s="1920"/>
      <c r="J59" s="1920"/>
      <c r="K59" s="1920"/>
      <c r="L59" s="1920"/>
      <c r="M59" s="1920"/>
      <c r="N59" s="1921"/>
      <c r="O59" s="467"/>
      <c r="P59" s="2"/>
      <c r="Q59" s="33"/>
      <c r="R59" s="60"/>
      <c r="S59" s="60"/>
      <c r="T59" s="60"/>
      <c r="U59" s="60"/>
      <c r="V59" s="60"/>
    </row>
    <row r="60" spans="1:22" ht="38.25" customHeight="1" x14ac:dyDescent="0.2">
      <c r="A60" s="808"/>
      <c r="B60" s="1115" t="s">
        <v>742</v>
      </c>
      <c r="C60" s="1116"/>
      <c r="D60" s="1722" t="str">
        <f>Опц_нестандарт</f>
        <v>14000 /луч</v>
      </c>
      <c r="E60" s="1723" t="s">
        <v>1414</v>
      </c>
      <c r="F60" s="2029" t="s">
        <v>1438</v>
      </c>
      <c r="G60" s="1877"/>
      <c r="H60" s="1877"/>
      <c r="I60" s="1877"/>
      <c r="J60" s="1877"/>
      <c r="K60" s="1877"/>
      <c r="L60" s="1877"/>
      <c r="M60" s="1877"/>
      <c r="N60" s="1878"/>
      <c r="O60" s="467"/>
      <c r="P60" s="2"/>
      <c r="Q60" s="33"/>
      <c r="R60" s="60"/>
      <c r="S60" s="60"/>
      <c r="T60" s="60"/>
      <c r="U60" s="60"/>
      <c r="V60" s="60"/>
    </row>
    <row r="61" spans="1:22" ht="29.25" customHeight="1" x14ac:dyDescent="0.2">
      <c r="A61" s="808"/>
      <c r="B61" s="1117" t="s">
        <v>1078</v>
      </c>
      <c r="C61" s="512"/>
      <c r="D61" s="710">
        <f>Опц_ЧИ_ИБ</f>
        <v>11200</v>
      </c>
      <c r="E61" s="709">
        <f>SUM(D61*1.25)</f>
        <v>14000</v>
      </c>
      <c r="F61" s="1880" t="s">
        <v>267</v>
      </c>
      <c r="G61" s="1881"/>
      <c r="H61" s="1881"/>
      <c r="I61" s="1881"/>
      <c r="J61" s="1881"/>
      <c r="K61" s="1881"/>
      <c r="L61" s="1881"/>
      <c r="M61" s="1881"/>
      <c r="N61" s="1882"/>
      <c r="O61" s="467"/>
      <c r="P61" s="2"/>
      <c r="Q61" s="33"/>
      <c r="R61" s="60"/>
      <c r="S61" s="60"/>
      <c r="T61" s="60"/>
      <c r="U61" s="60"/>
      <c r="V61" s="60"/>
    </row>
    <row r="62" spans="1:22" ht="30" customHeight="1" x14ac:dyDescent="0.2">
      <c r="A62" s="808"/>
      <c r="B62" s="1118" t="s">
        <v>1079</v>
      </c>
      <c r="C62" s="509"/>
      <c r="D62" s="704">
        <f>Опц_42_ИБ</f>
        <v>11200</v>
      </c>
      <c r="E62" s="706">
        <f>SUM(D62*1.25)</f>
        <v>14000</v>
      </c>
      <c r="F62" s="2030" t="s">
        <v>12</v>
      </c>
      <c r="G62" s="1874"/>
      <c r="H62" s="1874"/>
      <c r="I62" s="1874"/>
      <c r="J62" s="1874"/>
      <c r="K62" s="1874"/>
      <c r="L62" s="1874"/>
      <c r="M62" s="1874"/>
      <c r="N62" s="1875"/>
      <c r="O62" s="467"/>
      <c r="P62" s="2"/>
      <c r="Q62" s="60"/>
      <c r="R62" s="60"/>
      <c r="S62" s="60"/>
      <c r="T62" s="60"/>
      <c r="U62" s="60"/>
      <c r="V62" s="60"/>
    </row>
    <row r="63" spans="1:22" ht="30" customHeight="1" thickBot="1" x14ac:dyDescent="0.25">
      <c r="A63" s="808"/>
      <c r="B63" s="1119" t="s">
        <v>855</v>
      </c>
      <c r="C63" s="1120"/>
      <c r="D63" s="1121">
        <f>Опц_ЧИ42_ИБ</f>
        <v>22400</v>
      </c>
      <c r="E63" s="969">
        <f>SUM(D63*1.25)</f>
        <v>28000</v>
      </c>
      <c r="F63" s="2031" t="s">
        <v>999</v>
      </c>
      <c r="G63" s="2032"/>
      <c r="H63" s="2032"/>
      <c r="I63" s="2032"/>
      <c r="J63" s="2032"/>
      <c r="K63" s="2032"/>
      <c r="L63" s="2032"/>
      <c r="M63" s="2032"/>
      <c r="N63" s="2033"/>
      <c r="O63" s="467"/>
      <c r="P63" s="2"/>
      <c r="Q63" s="602"/>
      <c r="R63" s="60"/>
      <c r="S63" s="60"/>
      <c r="T63" s="60"/>
      <c r="U63" s="60"/>
      <c r="V63" s="60"/>
    </row>
    <row r="64" spans="1:22" ht="15" customHeight="1" x14ac:dyDescent="0.2">
      <c r="A64" s="1"/>
      <c r="B64" s="468"/>
      <c r="C64" s="274"/>
      <c r="D64" s="389"/>
      <c r="E64" s="389"/>
      <c r="F64" s="390"/>
      <c r="G64" s="230"/>
      <c r="H64" s="230"/>
      <c r="I64" s="230"/>
      <c r="J64" s="219"/>
      <c r="K64" s="219"/>
      <c r="L64" s="219"/>
      <c r="M64" s="461"/>
      <c r="N64" s="219"/>
      <c r="O64" s="467"/>
      <c r="P64" s="2"/>
      <c r="Q64" s="602"/>
      <c r="R64" s="60"/>
      <c r="S64" s="60"/>
      <c r="T64" s="60"/>
      <c r="U64" s="60"/>
      <c r="V64" s="60"/>
    </row>
    <row r="65" spans="1:22" ht="15" customHeight="1" x14ac:dyDescent="0.2">
      <c r="A65" s="2"/>
      <c r="B65" s="468"/>
      <c r="C65" s="274"/>
      <c r="D65" s="389"/>
      <c r="E65" s="389"/>
      <c r="F65" s="390"/>
      <c r="G65" s="230"/>
      <c r="H65" s="230"/>
      <c r="I65" s="230"/>
      <c r="J65" s="219"/>
      <c r="K65" s="219"/>
      <c r="L65" s="219"/>
      <c r="M65" s="461"/>
      <c r="N65" s="219"/>
      <c r="O65" s="467"/>
      <c r="P65" s="2"/>
      <c r="Q65" s="602"/>
      <c r="R65" s="60"/>
      <c r="S65" s="60"/>
      <c r="T65" s="60"/>
      <c r="U65" s="60"/>
      <c r="V65" s="60"/>
    </row>
    <row r="66" spans="1:22" ht="30" customHeight="1" thickBot="1" x14ac:dyDescent="0.25">
      <c r="A66" s="2"/>
      <c r="B66" s="925" t="s">
        <v>1157</v>
      </c>
      <c r="C66" s="926"/>
      <c r="D66" s="927"/>
      <c r="E66" s="927"/>
      <c r="F66" s="928"/>
      <c r="G66" s="929"/>
      <c r="H66" s="929" t="s">
        <v>1127</v>
      </c>
      <c r="I66" s="929"/>
      <c r="J66" s="931"/>
      <c r="K66" s="931"/>
      <c r="L66" s="931"/>
      <c r="M66" s="931"/>
      <c r="N66" s="931"/>
      <c r="O66" s="467"/>
      <c r="P66" s="2"/>
      <c r="Q66" s="33"/>
      <c r="R66" s="60"/>
      <c r="S66" s="60"/>
      <c r="T66" s="60"/>
      <c r="U66" s="60"/>
      <c r="V66" s="60"/>
    </row>
    <row r="67" spans="1:22" ht="16.5" customHeight="1" x14ac:dyDescent="0.2">
      <c r="A67" s="808"/>
      <c r="B67" s="502" t="s">
        <v>535</v>
      </c>
      <c r="C67" s="905" t="s">
        <v>695</v>
      </c>
      <c r="D67" s="905"/>
      <c r="E67" s="905"/>
      <c r="F67" s="908" t="s">
        <v>276</v>
      </c>
      <c r="G67" s="977"/>
      <c r="H67" s="909"/>
      <c r="I67" s="909"/>
      <c r="J67" s="909"/>
      <c r="K67" s="909"/>
      <c r="L67" s="909"/>
      <c r="M67" s="905"/>
      <c r="N67" s="910"/>
      <c r="O67" s="467"/>
      <c r="P67" s="2"/>
      <c r="Q67" s="33"/>
      <c r="R67" s="60"/>
      <c r="S67" s="60"/>
      <c r="T67" s="60"/>
      <c r="U67" s="60"/>
      <c r="V67" s="60"/>
    </row>
    <row r="68" spans="1:22" ht="16.5" customHeight="1" x14ac:dyDescent="0.2">
      <c r="A68" s="808"/>
      <c r="B68" s="912" t="s">
        <v>817</v>
      </c>
      <c r="C68" s="360"/>
      <c r="D68" s="367"/>
      <c r="E68" s="367"/>
      <c r="F68" s="367"/>
      <c r="G68" s="361"/>
      <c r="H68" s="362"/>
      <c r="I68" s="368"/>
      <c r="J68" s="368"/>
      <c r="K68" s="369"/>
      <c r="L68" s="368"/>
      <c r="M68" s="368"/>
      <c r="N68" s="916"/>
      <c r="O68" s="467"/>
      <c r="P68" s="2"/>
      <c r="Q68" s="60"/>
      <c r="R68" s="60"/>
      <c r="S68" s="60"/>
      <c r="T68" s="60"/>
      <c r="U68" s="60"/>
      <c r="V68" s="60"/>
    </row>
    <row r="69" spans="1:22" ht="16.5" customHeight="1" x14ac:dyDescent="0.25">
      <c r="A69" s="808"/>
      <c r="B69" s="913"/>
      <c r="C69" s="359"/>
      <c r="D69" s="470" t="s">
        <v>551</v>
      </c>
      <c r="E69" s="470"/>
      <c r="F69" s="365"/>
      <c r="G69" s="366"/>
      <c r="H69" s="366"/>
      <c r="I69" s="364"/>
      <c r="J69" s="364"/>
      <c r="K69" s="358"/>
      <c r="L69" s="363"/>
      <c r="M69" s="364"/>
      <c r="N69" s="917"/>
      <c r="O69" s="467"/>
      <c r="P69" s="2"/>
      <c r="Q69" s="33"/>
      <c r="R69" s="60"/>
      <c r="S69" s="60"/>
      <c r="T69" s="60"/>
      <c r="U69" s="60"/>
      <c r="V69" s="60"/>
    </row>
    <row r="70" spans="1:22" ht="16.5" customHeight="1" x14ac:dyDescent="0.25">
      <c r="A70" s="808"/>
      <c r="B70" s="913"/>
      <c r="C70" s="359"/>
      <c r="D70" s="470"/>
      <c r="E70" s="470"/>
      <c r="F70" s="365"/>
      <c r="G70" s="365"/>
      <c r="H70" s="365"/>
      <c r="I70" s="363"/>
      <c r="J70" s="363"/>
      <c r="K70" s="390"/>
      <c r="L70" s="363"/>
      <c r="M70" s="363"/>
      <c r="N70" s="917"/>
      <c r="O70" s="467"/>
      <c r="P70" s="2"/>
      <c r="Q70" s="33"/>
      <c r="R70" s="60"/>
      <c r="S70" s="60"/>
      <c r="T70" s="60"/>
      <c r="U70" s="60"/>
      <c r="V70" s="60"/>
    </row>
    <row r="71" spans="1:22" ht="16.5" customHeight="1" thickBot="1" x14ac:dyDescent="0.25">
      <c r="A71" s="808"/>
      <c r="B71" s="2016" t="s">
        <v>160</v>
      </c>
      <c r="C71" s="2027"/>
      <c r="D71" s="711">
        <f>Конверт_USB</f>
        <v>14400</v>
      </c>
      <c r="E71" s="721"/>
      <c r="F71" s="2019" t="s">
        <v>967</v>
      </c>
      <c r="G71" s="1912"/>
      <c r="H71" s="1912"/>
      <c r="I71" s="1912"/>
      <c r="J71" s="1912"/>
      <c r="K71" s="1912"/>
      <c r="L71" s="1912"/>
      <c r="M71" s="1912"/>
      <c r="N71" s="1913"/>
      <c r="O71" s="467"/>
      <c r="P71" s="2"/>
      <c r="Q71" s="33"/>
      <c r="R71" s="60"/>
      <c r="S71" s="60"/>
      <c r="T71" s="60"/>
      <c r="U71" s="60"/>
      <c r="V71" s="60"/>
    </row>
    <row r="72" spans="1:22" ht="16.5" customHeight="1" x14ac:dyDescent="0.2">
      <c r="A72" s="808"/>
      <c r="B72" s="2023" t="s">
        <v>471</v>
      </c>
      <c r="C72" s="2034"/>
      <c r="D72" s="705">
        <f>Конверт_Ethernet</f>
        <v>21600</v>
      </c>
      <c r="E72" s="716"/>
      <c r="F72" s="1903" t="s">
        <v>1102</v>
      </c>
      <c r="G72" s="1846"/>
      <c r="H72" s="1846"/>
      <c r="I72" s="1846"/>
      <c r="J72" s="1846"/>
      <c r="K72" s="1846"/>
      <c r="L72" s="1846"/>
      <c r="M72" s="1846"/>
      <c r="N72" s="1902"/>
      <c r="O72" s="467"/>
      <c r="P72" s="2"/>
      <c r="Q72" s="33"/>
      <c r="R72" s="60"/>
      <c r="S72" s="60"/>
      <c r="T72" s="60"/>
      <c r="U72" s="60"/>
      <c r="V72" s="60"/>
    </row>
    <row r="73" spans="1:22" ht="16.5" customHeight="1" x14ac:dyDescent="0.2">
      <c r="A73" s="808"/>
      <c r="B73" s="2014" t="s">
        <v>552</v>
      </c>
      <c r="C73" s="2025"/>
      <c r="D73" s="712">
        <f>Конверт_RS232</f>
        <v>10800</v>
      </c>
      <c r="E73" s="717"/>
      <c r="F73" s="2020" t="s">
        <v>968</v>
      </c>
      <c r="G73" s="1846"/>
      <c r="H73" s="1846"/>
      <c r="I73" s="1846"/>
      <c r="J73" s="1846"/>
      <c r="K73" s="1846"/>
      <c r="L73" s="1846"/>
      <c r="M73" s="1846"/>
      <c r="N73" s="1902"/>
      <c r="O73" s="467"/>
      <c r="P73" s="2"/>
      <c r="Q73" s="33"/>
      <c r="R73" s="60"/>
      <c r="S73" s="60"/>
      <c r="T73" s="60"/>
      <c r="U73" s="60"/>
      <c r="V73" s="60"/>
    </row>
    <row r="74" spans="1:22" ht="16.5" customHeight="1" x14ac:dyDescent="0.2">
      <c r="A74" s="808"/>
      <c r="B74" s="2023" t="s">
        <v>687</v>
      </c>
      <c r="C74" s="2024"/>
      <c r="D74" s="705">
        <f>Репит_RS485</f>
        <v>21600</v>
      </c>
      <c r="E74" s="706"/>
      <c r="F74" s="2021" t="s">
        <v>502</v>
      </c>
      <c r="G74" s="1846"/>
      <c r="H74" s="1846"/>
      <c r="I74" s="1846"/>
      <c r="J74" s="1846"/>
      <c r="K74" s="1846"/>
      <c r="L74" s="1846"/>
      <c r="M74" s="1846"/>
      <c r="N74" s="1902"/>
      <c r="O74" s="467"/>
      <c r="P74" s="2"/>
      <c r="Q74" s="60"/>
      <c r="R74" s="60"/>
      <c r="S74" s="60"/>
      <c r="T74" s="60"/>
      <c r="U74" s="60"/>
      <c r="V74" s="60"/>
    </row>
    <row r="75" spans="1:22" ht="24.75" customHeight="1" thickBot="1" x14ac:dyDescent="0.25">
      <c r="A75" s="808"/>
      <c r="B75" s="2016" t="s">
        <v>715</v>
      </c>
      <c r="C75" s="2017"/>
      <c r="D75" s="711">
        <f>Нетбук</f>
        <v>42000</v>
      </c>
      <c r="E75" s="721"/>
      <c r="F75" s="2019" t="s">
        <v>856</v>
      </c>
      <c r="G75" s="1891"/>
      <c r="H75" s="1891"/>
      <c r="I75" s="1891"/>
      <c r="J75" s="1891"/>
      <c r="K75" s="1891"/>
      <c r="L75" s="1891"/>
      <c r="M75" s="1891"/>
      <c r="N75" s="1892"/>
      <c r="O75" s="467"/>
      <c r="P75" s="2"/>
      <c r="Q75" s="602"/>
      <c r="R75" s="60"/>
      <c r="S75" s="60"/>
      <c r="T75" s="60"/>
      <c r="U75" s="60"/>
      <c r="V75" s="60"/>
    </row>
    <row r="76" spans="1:22" ht="16.5" customHeight="1" x14ac:dyDescent="0.2">
      <c r="A76" s="808"/>
      <c r="B76" s="912" t="s">
        <v>85</v>
      </c>
      <c r="C76" s="360"/>
      <c r="D76" s="367"/>
      <c r="E76" s="367"/>
      <c r="F76" s="367"/>
      <c r="G76" s="361"/>
      <c r="H76" s="362"/>
      <c r="I76" s="368"/>
      <c r="J76" s="368"/>
      <c r="K76" s="369"/>
      <c r="L76" s="368"/>
      <c r="M76" s="368"/>
      <c r="N76" s="916"/>
      <c r="O76" s="467"/>
      <c r="P76" s="2"/>
      <c r="Q76" s="33"/>
      <c r="R76" s="60"/>
      <c r="S76" s="60"/>
      <c r="T76" s="60"/>
      <c r="U76" s="60"/>
      <c r="V76" s="60"/>
    </row>
    <row r="77" spans="1:22" ht="16.5" customHeight="1" x14ac:dyDescent="0.25">
      <c r="A77" s="808"/>
      <c r="B77" s="913"/>
      <c r="C77" s="359"/>
      <c r="D77" s="470" t="s">
        <v>321</v>
      </c>
      <c r="E77" s="470"/>
      <c r="F77" s="365"/>
      <c r="G77" s="366"/>
      <c r="H77" s="366"/>
      <c r="I77" s="364"/>
      <c r="J77" s="364"/>
      <c r="K77" s="358"/>
      <c r="L77" s="363"/>
      <c r="M77" s="364"/>
      <c r="N77" s="917"/>
      <c r="O77" s="467"/>
      <c r="P77" s="2"/>
      <c r="Q77" s="33"/>
      <c r="R77" s="60"/>
      <c r="S77" s="60"/>
      <c r="T77" s="60"/>
      <c r="U77" s="60"/>
      <c r="V77" s="60"/>
    </row>
    <row r="78" spans="1:22" ht="16.5" customHeight="1" x14ac:dyDescent="0.25">
      <c r="A78" s="808"/>
      <c r="B78" s="913"/>
      <c r="C78" s="359"/>
      <c r="D78" s="470"/>
      <c r="E78" s="470"/>
      <c r="F78" s="365"/>
      <c r="G78" s="365"/>
      <c r="H78" s="365"/>
      <c r="I78" s="363"/>
      <c r="J78" s="363"/>
      <c r="K78" s="390"/>
      <c r="L78" s="363"/>
      <c r="M78" s="363"/>
      <c r="N78" s="917"/>
      <c r="O78" s="467"/>
      <c r="P78" s="2"/>
      <c r="Q78" s="33"/>
      <c r="R78" s="60"/>
      <c r="S78" s="60"/>
      <c r="T78" s="60"/>
      <c r="U78" s="60"/>
      <c r="V78" s="60"/>
    </row>
    <row r="79" spans="1:22" ht="24.75" customHeight="1" x14ac:dyDescent="0.2">
      <c r="A79" s="808"/>
      <c r="B79" s="2014" t="s">
        <v>1099</v>
      </c>
      <c r="C79" s="2025"/>
      <c r="D79" s="712">
        <f>Модем_RS485</f>
        <v>10800</v>
      </c>
      <c r="E79" s="713"/>
      <c r="F79" s="2020" t="s">
        <v>25</v>
      </c>
      <c r="G79" s="1846"/>
      <c r="H79" s="1846"/>
      <c r="I79" s="1846"/>
      <c r="J79" s="1846"/>
      <c r="K79" s="1846"/>
      <c r="L79" s="1846"/>
      <c r="M79" s="1846"/>
      <c r="N79" s="1902"/>
      <c r="O79" s="467"/>
      <c r="P79" s="2"/>
      <c r="Q79" s="60"/>
      <c r="R79" s="60"/>
      <c r="S79" s="60"/>
      <c r="T79" s="60"/>
      <c r="U79" s="60"/>
      <c r="V79" s="60"/>
    </row>
    <row r="80" spans="1:22" ht="24.75" customHeight="1" x14ac:dyDescent="0.2">
      <c r="A80" s="808"/>
      <c r="B80" s="2023" t="s">
        <v>686</v>
      </c>
      <c r="C80" s="2024"/>
      <c r="D80" s="705">
        <f>Модем_USB</f>
        <v>10800</v>
      </c>
      <c r="E80" s="714"/>
      <c r="F80" s="2021" t="s">
        <v>322</v>
      </c>
      <c r="G80" s="1846"/>
      <c r="H80" s="1846"/>
      <c r="I80" s="1846"/>
      <c r="J80" s="1846"/>
      <c r="K80" s="1846"/>
      <c r="L80" s="1846"/>
      <c r="M80" s="1846"/>
      <c r="N80" s="1902"/>
      <c r="O80" s="467"/>
      <c r="P80" s="2"/>
      <c r="Q80" s="33"/>
      <c r="R80" s="60"/>
      <c r="S80" s="60"/>
      <c r="T80" s="60"/>
      <c r="U80" s="60"/>
      <c r="V80" s="60"/>
    </row>
    <row r="81" spans="1:22" ht="24.75" customHeight="1" thickBot="1" x14ac:dyDescent="0.25">
      <c r="A81" s="808"/>
      <c r="B81" s="2016" t="s">
        <v>1225</v>
      </c>
      <c r="C81" s="2027"/>
      <c r="D81" s="711">
        <f>GPRS_терм</f>
        <v>25200</v>
      </c>
      <c r="E81" s="707"/>
      <c r="F81" s="2019" t="s">
        <v>1227</v>
      </c>
      <c r="G81" s="1891"/>
      <c r="H81" s="1891"/>
      <c r="I81" s="1891"/>
      <c r="J81" s="1891"/>
      <c r="K81" s="1891"/>
      <c r="L81" s="1891"/>
      <c r="M81" s="1891"/>
      <c r="N81" s="1892"/>
      <c r="O81" s="467"/>
      <c r="P81" s="2"/>
      <c r="Q81" s="60"/>
      <c r="R81" s="60"/>
      <c r="S81" s="60"/>
      <c r="T81" s="60"/>
      <c r="U81" s="60"/>
      <c r="V81" s="60"/>
    </row>
    <row r="82" spans="1:22" ht="16.5" customHeight="1" x14ac:dyDescent="0.2">
      <c r="A82" s="808"/>
      <c r="B82" s="912" t="s">
        <v>212</v>
      </c>
      <c r="C82" s="360"/>
      <c r="D82" s="367"/>
      <c r="E82" s="367"/>
      <c r="F82" s="367"/>
      <c r="G82" s="361"/>
      <c r="H82" s="362"/>
      <c r="I82" s="368"/>
      <c r="J82" s="368"/>
      <c r="K82" s="369"/>
      <c r="L82" s="368"/>
      <c r="M82" s="368"/>
      <c r="N82" s="916"/>
      <c r="O82" s="467"/>
      <c r="P82" s="2"/>
      <c r="Q82" s="602"/>
      <c r="R82" s="60"/>
      <c r="S82" s="60"/>
      <c r="T82" s="60"/>
      <c r="U82" s="60"/>
      <c r="V82" s="60"/>
    </row>
    <row r="83" spans="1:22" ht="16.5" customHeight="1" x14ac:dyDescent="0.25">
      <c r="A83" s="808"/>
      <c r="B83" s="913"/>
      <c r="C83" s="359"/>
      <c r="D83" s="470" t="s">
        <v>33</v>
      </c>
      <c r="E83" s="470"/>
      <c r="F83" s="365"/>
      <c r="G83" s="366"/>
      <c r="H83" s="366"/>
      <c r="I83" s="364"/>
      <c r="J83" s="364"/>
      <c r="K83" s="358"/>
      <c r="L83" s="363"/>
      <c r="M83" s="364"/>
      <c r="N83" s="917"/>
      <c r="O83" s="467"/>
      <c r="P83" s="2"/>
      <c r="Q83" s="33"/>
      <c r="R83" s="60"/>
      <c r="S83" s="60"/>
      <c r="T83" s="60"/>
      <c r="U83" s="60"/>
      <c r="V83" s="60"/>
    </row>
    <row r="84" spans="1:22" ht="16.5" customHeight="1" x14ac:dyDescent="0.25">
      <c r="A84" s="808"/>
      <c r="B84" s="913"/>
      <c r="C84" s="359"/>
      <c r="D84" s="470"/>
      <c r="E84" s="470"/>
      <c r="F84" s="365"/>
      <c r="G84" s="365"/>
      <c r="H84" s="365"/>
      <c r="I84" s="363"/>
      <c r="J84" s="363"/>
      <c r="K84" s="390"/>
      <c r="L84" s="363"/>
      <c r="M84" s="363"/>
      <c r="N84" s="917"/>
      <c r="O84" s="467"/>
      <c r="P84" s="2"/>
      <c r="Q84" s="33"/>
      <c r="R84" s="60"/>
      <c r="S84" s="60"/>
      <c r="T84" s="60"/>
      <c r="U84" s="60"/>
      <c r="V84" s="60"/>
    </row>
    <row r="85" spans="1:22" ht="16.5" customHeight="1" x14ac:dyDescent="0.2">
      <c r="A85" s="808"/>
      <c r="B85" s="2014" t="s">
        <v>86</v>
      </c>
      <c r="C85" s="2015"/>
      <c r="D85" s="715">
        <f>Шкаф_необогр</f>
        <v>28000</v>
      </c>
      <c r="E85" s="713"/>
      <c r="F85" s="2022" t="s">
        <v>68</v>
      </c>
      <c r="G85" s="1846"/>
      <c r="H85" s="1846"/>
      <c r="I85" s="1846"/>
      <c r="J85" s="1846"/>
      <c r="K85" s="1846"/>
      <c r="L85" s="1846"/>
      <c r="M85" s="1846"/>
      <c r="N85" s="1902"/>
      <c r="O85" s="467"/>
      <c r="P85" s="2"/>
      <c r="Q85" s="60"/>
      <c r="R85" s="60"/>
      <c r="S85" s="60"/>
      <c r="T85" s="60"/>
      <c r="U85" s="60"/>
      <c r="V85" s="60"/>
    </row>
    <row r="86" spans="1:22" ht="16.5" customHeight="1" thickBot="1" x14ac:dyDescent="0.25">
      <c r="A86" s="808"/>
      <c r="B86" s="2012" t="s">
        <v>87</v>
      </c>
      <c r="C86" s="2013"/>
      <c r="D86" s="902">
        <f>Шкаф_обогр</f>
        <v>49000</v>
      </c>
      <c r="E86" s="932"/>
      <c r="F86" s="2018" t="s">
        <v>67</v>
      </c>
      <c r="G86" s="1891"/>
      <c r="H86" s="1891"/>
      <c r="I86" s="1891"/>
      <c r="J86" s="1891"/>
      <c r="K86" s="1891"/>
      <c r="L86" s="1891"/>
      <c r="M86" s="1891"/>
      <c r="N86" s="1892"/>
      <c r="O86" s="467"/>
      <c r="P86" s="2"/>
      <c r="Q86" s="33"/>
      <c r="R86" s="60"/>
      <c r="S86" s="60"/>
      <c r="T86" s="60"/>
      <c r="U86" s="60"/>
      <c r="V86" s="60"/>
    </row>
    <row r="87" spans="1:22" ht="15" customHeight="1" x14ac:dyDescent="0.2">
      <c r="A87" s="1"/>
      <c r="B87" s="419"/>
      <c r="C87" s="419"/>
      <c r="D87" s="457"/>
      <c r="E87" s="457"/>
      <c r="F87" s="459"/>
      <c r="G87" s="459"/>
      <c r="H87" s="459"/>
      <c r="I87" s="459"/>
      <c r="J87" s="459"/>
      <c r="K87" s="459"/>
      <c r="L87" s="459"/>
      <c r="M87" s="459"/>
      <c r="N87" s="462"/>
      <c r="O87" s="401"/>
      <c r="P87" s="2"/>
      <c r="Q87" s="60"/>
      <c r="R87" s="60"/>
      <c r="S87" s="60"/>
      <c r="T87" s="60"/>
      <c r="U87" s="60"/>
      <c r="V87" s="60"/>
    </row>
    <row r="88" spans="1:22" ht="15" customHeight="1" x14ac:dyDescent="0.2">
      <c r="A88" s="1"/>
      <c r="B88" s="471"/>
      <c r="C88" s="371"/>
      <c r="D88" s="513"/>
      <c r="E88" s="513"/>
      <c r="F88" s="514"/>
      <c r="G88" s="515"/>
      <c r="H88" s="515"/>
      <c r="I88" s="515"/>
      <c r="J88" s="515"/>
      <c r="K88" s="397"/>
      <c r="L88" s="397"/>
      <c r="M88" s="397"/>
      <c r="N88" s="397"/>
      <c r="O88" s="465"/>
      <c r="P88" s="60"/>
      <c r="Q88" s="602"/>
      <c r="R88" s="60"/>
      <c r="S88" s="60"/>
      <c r="T88" s="60"/>
      <c r="U88" s="60"/>
      <c r="V88" s="10"/>
    </row>
    <row r="89" spans="1:22" ht="15" customHeight="1" x14ac:dyDescent="0.25">
      <c r="A89" s="1"/>
      <c r="B89" s="464"/>
      <c r="C89" s="371"/>
      <c r="D89" s="478" t="s">
        <v>35</v>
      </c>
      <c r="E89" s="478"/>
      <c r="F89" s="65"/>
      <c r="G89" s="515"/>
      <c r="H89" s="515"/>
      <c r="I89" s="515"/>
      <c r="J89" s="515"/>
      <c r="K89" s="397"/>
      <c r="L89" s="397"/>
      <c r="M89" s="397"/>
      <c r="N89" s="397"/>
      <c r="O89" s="465"/>
      <c r="P89" s="60"/>
      <c r="Q89" s="33"/>
      <c r="R89" s="60"/>
      <c r="S89" s="60"/>
      <c r="T89" s="60"/>
      <c r="U89" s="60"/>
      <c r="V89" s="10"/>
    </row>
    <row r="90" spans="1:22" ht="15" customHeight="1" thickBot="1" x14ac:dyDescent="0.25">
      <c r="A90" s="1"/>
      <c r="B90" s="938"/>
      <c r="C90" s="939"/>
      <c r="D90" s="642" t="s">
        <v>818</v>
      </c>
      <c r="E90" s="940"/>
      <c r="F90" s="941"/>
      <c r="G90" s="942"/>
      <c r="H90" s="943"/>
      <c r="I90" s="943"/>
      <c r="J90" s="943"/>
      <c r="K90" s="943"/>
      <c r="L90" s="943"/>
      <c r="M90" s="943"/>
      <c r="N90" s="943"/>
      <c r="O90" s="465"/>
      <c r="P90" s="60"/>
      <c r="Q90" s="60"/>
      <c r="R90" s="60"/>
      <c r="S90" s="60"/>
      <c r="T90" s="60"/>
      <c r="U90" s="60"/>
      <c r="V90" s="10"/>
    </row>
    <row r="91" spans="1:22" ht="16.5" customHeight="1" x14ac:dyDescent="0.2">
      <c r="A91" s="808"/>
      <c r="B91" s="918" t="s">
        <v>535</v>
      </c>
      <c r="C91" s="919"/>
      <c r="D91" s="906" t="s">
        <v>821</v>
      </c>
      <c r="E91" s="921" t="s">
        <v>820</v>
      </c>
      <c r="F91" s="1001" t="s">
        <v>696</v>
      </c>
      <c r="G91" s="922"/>
      <c r="H91" s="923"/>
      <c r="I91" s="923"/>
      <c r="J91" s="923"/>
      <c r="K91" s="923"/>
      <c r="L91" s="923"/>
      <c r="M91" s="919"/>
      <c r="N91" s="910"/>
      <c r="O91" s="467"/>
      <c r="P91" s="60"/>
      <c r="Q91" s="33"/>
      <c r="R91" s="60"/>
      <c r="S91" s="60"/>
      <c r="T91" s="60"/>
      <c r="U91" s="60"/>
      <c r="V91" s="10"/>
    </row>
    <row r="92" spans="1:22" ht="16.5" customHeight="1" x14ac:dyDescent="0.2">
      <c r="A92" s="808"/>
      <c r="B92" s="498" t="s">
        <v>36</v>
      </c>
      <c r="C92" s="473"/>
      <c r="D92" s="949">
        <f>РК50</f>
        <v>35</v>
      </c>
      <c r="E92" s="947">
        <f>SUM(D92*1.25)</f>
        <v>43.75</v>
      </c>
      <c r="F92" s="223" t="s">
        <v>664</v>
      </c>
      <c r="G92" s="230"/>
      <c r="H92" s="230"/>
      <c r="I92" s="230"/>
      <c r="J92" s="219"/>
      <c r="K92" s="219"/>
      <c r="L92" s="219"/>
      <c r="M92" s="219"/>
      <c r="N92" s="933"/>
      <c r="O92" s="254"/>
      <c r="P92" s="60"/>
      <c r="Q92" s="60"/>
      <c r="R92" s="60"/>
      <c r="S92" s="60"/>
      <c r="T92" s="60"/>
      <c r="U92" s="60"/>
      <c r="V92" s="10"/>
    </row>
    <row r="93" spans="1:22" ht="16.5" customHeight="1" thickBot="1" x14ac:dyDescent="0.25">
      <c r="A93" s="808"/>
      <c r="B93" s="937"/>
      <c r="C93" s="934"/>
      <c r="D93" s="950"/>
      <c r="E93" s="948"/>
      <c r="F93" s="935" t="s">
        <v>663</v>
      </c>
      <c r="G93" s="888"/>
      <c r="H93" s="888"/>
      <c r="I93" s="888"/>
      <c r="J93" s="890"/>
      <c r="K93" s="890"/>
      <c r="L93" s="890"/>
      <c r="M93" s="890"/>
      <c r="N93" s="936"/>
      <c r="O93" s="219"/>
      <c r="P93" s="60"/>
      <c r="Q93" s="602"/>
      <c r="R93" s="60"/>
      <c r="S93" s="60"/>
      <c r="T93" s="60"/>
      <c r="U93" s="60"/>
      <c r="V93" s="10"/>
    </row>
    <row r="94" spans="1:22" ht="15" customHeight="1" x14ac:dyDescent="0.2">
      <c r="A94" s="2"/>
      <c r="B94" s="499"/>
      <c r="C94" s="371"/>
      <c r="D94" s="254"/>
      <c r="E94" s="254"/>
      <c r="F94" s="472"/>
      <c r="G94" s="397"/>
      <c r="H94" s="397"/>
      <c r="I94" s="397"/>
      <c r="J94" s="397"/>
      <c r="K94" s="397"/>
      <c r="L94" s="397"/>
      <c r="M94" s="397"/>
      <c r="N94" s="397"/>
      <c r="O94" s="465"/>
      <c r="P94" s="60"/>
      <c r="Q94" s="33"/>
      <c r="R94" s="60"/>
      <c r="S94" s="60"/>
      <c r="T94" s="60"/>
      <c r="U94" s="60"/>
      <c r="V94" s="10"/>
    </row>
    <row r="95" spans="1:22" ht="15" customHeight="1" x14ac:dyDescent="0.2">
      <c r="A95" s="2"/>
      <c r="B95" s="499"/>
      <c r="C95" s="371"/>
      <c r="D95" s="254"/>
      <c r="E95" s="254"/>
      <c r="F95" s="472"/>
      <c r="G95" s="397"/>
      <c r="H95" s="397"/>
      <c r="I95" s="397"/>
      <c r="J95" s="397"/>
      <c r="K95" s="397"/>
      <c r="L95" s="397"/>
      <c r="M95" s="397"/>
      <c r="N95" s="397"/>
      <c r="O95" s="465"/>
      <c r="P95" s="60"/>
      <c r="Q95" s="33"/>
      <c r="R95" s="60"/>
      <c r="S95" s="60"/>
      <c r="T95" s="60"/>
      <c r="U95" s="60"/>
      <c r="V95" s="10"/>
    </row>
    <row r="96" spans="1:22" ht="15" customHeight="1" x14ac:dyDescent="0.2">
      <c r="A96" s="2"/>
      <c r="B96" s="499"/>
      <c r="C96" s="371"/>
      <c r="D96" s="513"/>
      <c r="E96" s="513"/>
      <c r="F96" s="516" t="s">
        <v>125</v>
      </c>
      <c r="G96" s="517"/>
      <c r="H96" s="558"/>
      <c r="I96" s="513"/>
      <c r="J96" s="515"/>
      <c r="K96" s="397"/>
      <c r="L96" s="397"/>
      <c r="M96" s="397"/>
      <c r="N96" s="397"/>
      <c r="O96" s="465"/>
      <c r="P96" s="60"/>
      <c r="Q96" s="60"/>
      <c r="R96" s="60"/>
      <c r="S96" s="60"/>
      <c r="T96" s="60"/>
      <c r="U96" s="60"/>
      <c r="V96" s="10"/>
    </row>
    <row r="97" spans="1:22" ht="15" customHeight="1" x14ac:dyDescent="0.25">
      <c r="A97" s="2"/>
      <c r="B97" s="499"/>
      <c r="C97" s="371"/>
      <c r="D97" s="478" t="s">
        <v>665</v>
      </c>
      <c r="E97" s="478"/>
      <c r="F97" s="518"/>
      <c r="G97" s="519"/>
      <c r="H97" s="559"/>
      <c r="I97" s="560"/>
      <c r="J97" s="515"/>
      <c r="K97" s="397"/>
      <c r="L97" s="397"/>
      <c r="M97" s="397"/>
      <c r="N97" s="397"/>
      <c r="O97" s="465"/>
      <c r="P97" s="60"/>
      <c r="Q97" s="33"/>
      <c r="R97" s="60"/>
      <c r="S97" s="60"/>
      <c r="T97" s="60"/>
      <c r="U97" s="60"/>
      <c r="V97" s="10"/>
    </row>
    <row r="98" spans="1:22" ht="15" customHeight="1" thickBot="1" x14ac:dyDescent="0.25">
      <c r="A98" s="2"/>
      <c r="B98" s="944"/>
      <c r="C98" s="939"/>
      <c r="D98" s="940"/>
      <c r="E98" s="940"/>
      <c r="F98" s="945"/>
      <c r="G98" s="943"/>
      <c r="H98" s="943"/>
      <c r="I98" s="943"/>
      <c r="J98" s="943"/>
      <c r="K98" s="943"/>
      <c r="L98" s="943"/>
      <c r="M98" s="943"/>
      <c r="N98" s="943"/>
      <c r="O98" s="465"/>
      <c r="P98" s="60"/>
      <c r="Q98" s="33"/>
      <c r="R98" s="60"/>
      <c r="S98" s="60"/>
      <c r="T98" s="60"/>
      <c r="U98" s="60"/>
      <c r="V98" s="10"/>
    </row>
    <row r="99" spans="1:22" ht="15" customHeight="1" x14ac:dyDescent="0.2">
      <c r="A99" s="1"/>
      <c r="B99" s="388"/>
      <c r="C99" s="274"/>
      <c r="D99" s="389"/>
      <c r="E99" s="389"/>
      <c r="F99" s="390"/>
      <c r="G99" s="230"/>
      <c r="H99" s="230"/>
      <c r="I99" s="230"/>
      <c r="J99" s="219"/>
      <c r="K99" s="219"/>
      <c r="L99" s="219"/>
      <c r="M99" s="219"/>
      <c r="N99" s="219"/>
      <c r="O99" s="465"/>
      <c r="P99" s="60"/>
      <c r="Q99" s="33"/>
      <c r="R99" s="60"/>
      <c r="S99" s="60"/>
      <c r="T99" s="60"/>
      <c r="U99" s="60"/>
      <c r="V99" s="10"/>
    </row>
    <row r="100" spans="1:22" ht="15" customHeight="1" x14ac:dyDescent="0.2">
      <c r="A100" s="1"/>
      <c r="B100" s="388"/>
      <c r="C100" s="274"/>
      <c r="D100" s="387"/>
      <c r="E100" s="387"/>
      <c r="F100" s="384"/>
      <c r="G100" s="385"/>
      <c r="H100" s="385"/>
      <c r="I100" s="385"/>
      <c r="J100" s="386"/>
      <c r="K100" s="219"/>
      <c r="L100" s="219"/>
      <c r="M100" s="219"/>
      <c r="N100" s="219"/>
      <c r="O100" s="465"/>
      <c r="P100" s="60"/>
      <c r="Q100" s="33"/>
      <c r="R100" s="60"/>
      <c r="S100" s="60"/>
      <c r="T100" s="60"/>
      <c r="U100" s="60"/>
      <c r="V100" s="10"/>
    </row>
    <row r="101" spans="1:22" ht="15" customHeight="1" x14ac:dyDescent="0.25">
      <c r="A101" s="1"/>
      <c r="B101" s="388"/>
      <c r="C101" s="274"/>
      <c r="D101" s="478" t="s">
        <v>849</v>
      </c>
      <c r="E101" s="478"/>
      <c r="F101" s="384"/>
      <c r="G101" s="385"/>
      <c r="H101" s="385"/>
      <c r="I101" s="385"/>
      <c r="J101" s="386"/>
      <c r="K101" s="219"/>
      <c r="L101" s="219"/>
      <c r="M101" s="219"/>
      <c r="N101" s="219"/>
      <c r="O101" s="465"/>
      <c r="P101" s="60"/>
      <c r="Q101" s="60"/>
      <c r="R101" s="60"/>
      <c r="S101" s="60"/>
      <c r="T101" s="60"/>
      <c r="U101" s="60"/>
      <c r="V101" s="10"/>
    </row>
    <row r="102" spans="1:22" ht="15" customHeight="1" thickBot="1" x14ac:dyDescent="0.25">
      <c r="A102" s="1"/>
      <c r="B102" s="937"/>
      <c r="C102" s="946"/>
      <c r="D102" s="897"/>
      <c r="E102" s="897"/>
      <c r="F102" s="987"/>
      <c r="G102" s="888"/>
      <c r="H102" s="888"/>
      <c r="I102" s="888"/>
      <c r="J102" s="890"/>
      <c r="K102" s="890"/>
      <c r="L102" s="890"/>
      <c r="M102" s="890"/>
      <c r="N102" s="890"/>
      <c r="O102" s="465"/>
      <c r="P102" s="60"/>
      <c r="Q102" s="33"/>
      <c r="R102" s="60"/>
      <c r="S102" s="60"/>
      <c r="T102" s="60"/>
      <c r="U102" s="60"/>
      <c r="V102" s="10"/>
    </row>
    <row r="103" spans="1:22" ht="16.5" customHeight="1" x14ac:dyDescent="0.2">
      <c r="A103" s="808"/>
      <c r="B103" s="974" t="s">
        <v>535</v>
      </c>
      <c r="C103" s="905" t="s">
        <v>695</v>
      </c>
      <c r="D103" s="905"/>
      <c r="E103" s="905"/>
      <c r="F103" s="908" t="s">
        <v>276</v>
      </c>
      <c r="G103" s="977"/>
      <c r="H103" s="909"/>
      <c r="I103" s="909"/>
      <c r="J103" s="909"/>
      <c r="K103" s="909"/>
      <c r="L103" s="909"/>
      <c r="M103" s="905"/>
      <c r="N103" s="910"/>
      <c r="O103" s="465"/>
      <c r="P103" s="60"/>
      <c r="Q103" s="33"/>
      <c r="R103" s="60"/>
      <c r="S103" s="60"/>
      <c r="T103" s="60"/>
      <c r="U103" s="60"/>
      <c r="V103" s="10"/>
    </row>
    <row r="104" spans="1:22" ht="16.5" customHeight="1" x14ac:dyDescent="0.2">
      <c r="A104" s="808"/>
      <c r="B104" s="498" t="s">
        <v>840</v>
      </c>
      <c r="C104" s="473"/>
      <c r="D104" s="712">
        <f>ТС1</f>
        <v>5400</v>
      </c>
      <c r="E104" s="717"/>
      <c r="F104" s="798" t="s">
        <v>1000</v>
      </c>
      <c r="G104" s="230"/>
      <c r="H104" s="230"/>
      <c r="I104" s="230"/>
      <c r="J104" s="219"/>
      <c r="K104" s="219"/>
      <c r="L104" s="219"/>
      <c r="M104" s="219"/>
      <c r="N104" s="933"/>
      <c r="O104" s="465"/>
      <c r="P104" s="60"/>
      <c r="Q104" s="33"/>
      <c r="R104" s="60"/>
      <c r="S104" s="60"/>
      <c r="T104" s="60"/>
      <c r="U104" s="60"/>
      <c r="V104" s="10"/>
    </row>
    <row r="105" spans="1:22" ht="16.5" customHeight="1" thickBot="1" x14ac:dyDescent="0.25">
      <c r="A105" s="808"/>
      <c r="B105" s="973" t="s">
        <v>840</v>
      </c>
      <c r="C105" s="972"/>
      <c r="D105" s="902">
        <f>ТС2</f>
        <v>5900</v>
      </c>
      <c r="E105" s="904"/>
      <c r="F105" s="988" t="s">
        <v>1001</v>
      </c>
      <c r="G105" s="989"/>
      <c r="H105" s="990"/>
      <c r="I105" s="990"/>
      <c r="J105" s="991"/>
      <c r="K105" s="991"/>
      <c r="L105" s="991"/>
      <c r="M105" s="991"/>
      <c r="N105" s="992"/>
      <c r="O105" s="465"/>
      <c r="P105" s="60"/>
      <c r="Q105" s="33"/>
      <c r="R105" s="60"/>
      <c r="S105" s="60"/>
      <c r="T105" s="60"/>
      <c r="U105" s="60"/>
      <c r="V105" s="10"/>
    </row>
    <row r="106" spans="1:22" ht="15" customHeight="1" x14ac:dyDescent="0.2">
      <c r="A106" s="1"/>
      <c r="B106" s="388"/>
      <c r="C106" s="274"/>
      <c r="D106" s="389"/>
      <c r="E106" s="389"/>
      <c r="F106" s="390"/>
      <c r="G106" s="230"/>
      <c r="H106" s="230"/>
      <c r="I106" s="230"/>
      <c r="J106" s="219"/>
      <c r="K106" s="219"/>
      <c r="L106" s="219"/>
      <c r="M106" s="219"/>
      <c r="N106" s="219"/>
      <c r="O106" s="465"/>
      <c r="P106" s="60"/>
      <c r="Q106" s="33"/>
      <c r="R106" s="60"/>
      <c r="S106" s="60"/>
      <c r="T106" s="60"/>
      <c r="U106" s="60"/>
      <c r="V106" s="10"/>
    </row>
    <row r="107" spans="1:22" ht="15" customHeight="1" x14ac:dyDescent="0.2">
      <c r="A107" s="1"/>
      <c r="B107" s="388"/>
      <c r="C107" s="274"/>
      <c r="D107" s="387"/>
      <c r="E107" s="387"/>
      <c r="F107" s="384"/>
      <c r="G107" s="385"/>
      <c r="H107" s="385"/>
      <c r="I107" s="385"/>
      <c r="J107" s="386"/>
      <c r="K107" s="219"/>
      <c r="L107" s="219"/>
      <c r="M107" s="219"/>
      <c r="N107" s="219"/>
      <c r="O107" s="465"/>
      <c r="P107" s="60"/>
      <c r="Q107" s="60"/>
      <c r="R107" s="60"/>
      <c r="S107" s="60"/>
      <c r="T107" s="60"/>
      <c r="U107" s="60"/>
      <c r="V107" s="10"/>
    </row>
    <row r="108" spans="1:22" ht="15" customHeight="1" x14ac:dyDescent="0.25">
      <c r="A108" s="1"/>
      <c r="B108" s="388"/>
      <c r="C108" s="274"/>
      <c r="D108" s="478" t="s">
        <v>850</v>
      </c>
      <c r="E108" s="478"/>
      <c r="F108" s="384"/>
      <c r="G108" s="385"/>
      <c r="H108" s="385"/>
      <c r="I108" s="385"/>
      <c r="J108" s="386"/>
      <c r="K108" s="219"/>
      <c r="L108" s="219"/>
      <c r="M108" s="219"/>
      <c r="N108" s="219"/>
      <c r="O108" s="465"/>
      <c r="P108" s="60"/>
      <c r="Q108" s="602"/>
      <c r="R108" s="60"/>
      <c r="S108" s="60"/>
      <c r="T108" s="60"/>
      <c r="U108" s="60"/>
      <c r="V108" s="10"/>
    </row>
    <row r="109" spans="1:22" ht="15" customHeight="1" thickBot="1" x14ac:dyDescent="0.25">
      <c r="A109" s="1"/>
      <c r="B109" s="937"/>
      <c r="C109" s="946"/>
      <c r="D109" s="897"/>
      <c r="E109" s="897"/>
      <c r="F109" s="987"/>
      <c r="G109" s="888"/>
      <c r="H109" s="888"/>
      <c r="I109" s="888"/>
      <c r="J109" s="890"/>
      <c r="K109" s="890"/>
      <c r="L109" s="890"/>
      <c r="M109" s="890"/>
      <c r="N109" s="890"/>
      <c r="O109" s="465"/>
      <c r="P109" s="60"/>
      <c r="Q109" s="602"/>
      <c r="R109" s="60"/>
      <c r="S109" s="60"/>
      <c r="T109" s="60"/>
      <c r="U109" s="60"/>
      <c r="V109" s="10"/>
    </row>
    <row r="110" spans="1:22" ht="16.5" customHeight="1" x14ac:dyDescent="0.2">
      <c r="A110" s="808"/>
      <c r="B110" s="974" t="s">
        <v>535</v>
      </c>
      <c r="C110" s="905" t="s">
        <v>695</v>
      </c>
      <c r="D110" s="905"/>
      <c r="E110" s="905"/>
      <c r="F110" s="908" t="s">
        <v>276</v>
      </c>
      <c r="G110" s="977"/>
      <c r="H110" s="909"/>
      <c r="I110" s="909"/>
      <c r="J110" s="909"/>
      <c r="K110" s="909"/>
      <c r="L110" s="909"/>
      <c r="M110" s="905"/>
      <c r="N110" s="910"/>
      <c r="O110" s="465"/>
      <c r="P110" s="60"/>
      <c r="Q110" s="602"/>
      <c r="R110" s="60"/>
      <c r="S110" s="60"/>
      <c r="T110" s="60"/>
      <c r="U110" s="60"/>
      <c r="V110" s="10"/>
    </row>
    <row r="111" spans="1:22" ht="16.5" customHeight="1" x14ac:dyDescent="0.2">
      <c r="A111" s="808"/>
      <c r="B111" s="498" t="s">
        <v>854</v>
      </c>
      <c r="C111" s="473"/>
      <c r="D111" s="722">
        <f>ПД</f>
        <v>6300</v>
      </c>
      <c r="E111" s="717"/>
      <c r="F111" s="223" t="s">
        <v>1002</v>
      </c>
      <c r="G111" s="230"/>
      <c r="H111" s="230"/>
      <c r="I111" s="230"/>
      <c r="J111" s="219"/>
      <c r="K111" s="219"/>
      <c r="L111" s="219"/>
      <c r="M111" s="219"/>
      <c r="N111" s="933"/>
      <c r="O111" s="465"/>
      <c r="P111" s="60"/>
      <c r="Q111" s="33"/>
      <c r="R111" s="60"/>
      <c r="S111" s="60"/>
      <c r="T111" s="60"/>
      <c r="U111" s="60"/>
      <c r="V111" s="10"/>
    </row>
    <row r="112" spans="1:22" ht="16.5" customHeight="1" thickBot="1" x14ac:dyDescent="0.25">
      <c r="A112" s="808"/>
      <c r="B112" s="937"/>
      <c r="C112" s="934"/>
      <c r="D112" s="986"/>
      <c r="E112" s="981"/>
      <c r="F112" s="987"/>
      <c r="G112" s="888"/>
      <c r="H112" s="888"/>
      <c r="I112" s="888"/>
      <c r="J112" s="890"/>
      <c r="K112" s="890"/>
      <c r="L112" s="890"/>
      <c r="M112" s="890"/>
      <c r="N112" s="936"/>
      <c r="O112" s="465"/>
      <c r="P112" s="60"/>
      <c r="Q112" s="603"/>
      <c r="R112" s="60"/>
      <c r="S112" s="60"/>
      <c r="T112" s="60"/>
      <c r="U112" s="60"/>
      <c r="V112" s="10"/>
    </row>
    <row r="113" spans="1:22" ht="15" customHeight="1" x14ac:dyDescent="0.2">
      <c r="A113" s="1"/>
      <c r="B113" s="419"/>
      <c r="C113" s="419"/>
      <c r="D113" s="457"/>
      <c r="E113" s="457"/>
      <c r="F113" s="459"/>
      <c r="G113" s="459"/>
      <c r="H113" s="459"/>
      <c r="I113" s="459"/>
      <c r="J113" s="459"/>
      <c r="K113" s="459"/>
      <c r="L113" s="459"/>
      <c r="M113" s="459"/>
      <c r="N113" s="462"/>
      <c r="O113" s="465"/>
      <c r="P113" s="60"/>
      <c r="Q113" s="33"/>
      <c r="R113" s="60"/>
      <c r="S113" s="60"/>
      <c r="T113" s="60"/>
      <c r="U113" s="60"/>
      <c r="V113" s="10"/>
    </row>
    <row r="114" spans="1:22" ht="15" customHeight="1" x14ac:dyDescent="0.2">
      <c r="A114" s="1"/>
      <c r="B114" s="471"/>
      <c r="C114" s="371"/>
      <c r="D114" s="513"/>
      <c r="E114" s="513"/>
      <c r="F114" s="514"/>
      <c r="G114" s="515"/>
      <c r="H114" s="515"/>
      <c r="I114" s="515"/>
      <c r="J114" s="515"/>
      <c r="K114" s="397"/>
      <c r="L114" s="397"/>
      <c r="M114" s="397"/>
      <c r="N114" s="397"/>
      <c r="O114" s="465"/>
      <c r="P114" s="60"/>
      <c r="Q114" s="602"/>
      <c r="R114" s="60"/>
      <c r="S114" s="60"/>
      <c r="T114" s="60"/>
      <c r="U114" s="60"/>
      <c r="V114" s="10"/>
    </row>
    <row r="115" spans="1:22" ht="15" customHeight="1" x14ac:dyDescent="0.25">
      <c r="A115" s="1"/>
      <c r="B115" s="464"/>
      <c r="C115" s="371"/>
      <c r="D115" s="478" t="s">
        <v>851</v>
      </c>
      <c r="E115" s="478"/>
      <c r="F115" s="65"/>
      <c r="G115" s="515"/>
      <c r="H115" s="515"/>
      <c r="I115" s="515"/>
      <c r="J115" s="515"/>
      <c r="K115" s="397"/>
      <c r="L115" s="397"/>
      <c r="M115" s="397"/>
      <c r="N115" s="397"/>
      <c r="O115" s="465"/>
      <c r="P115" s="60"/>
      <c r="Q115" s="602"/>
      <c r="R115" s="60"/>
      <c r="S115" s="60"/>
      <c r="T115" s="60"/>
      <c r="U115" s="60"/>
      <c r="V115" s="10"/>
    </row>
    <row r="116" spans="1:22" ht="15" customHeight="1" thickBot="1" x14ac:dyDescent="0.25">
      <c r="A116" s="1"/>
      <c r="B116" s="938"/>
      <c r="C116" s="939"/>
      <c r="D116" s="642" t="s">
        <v>818</v>
      </c>
      <c r="E116" s="940"/>
      <c r="F116" s="941"/>
      <c r="G116" s="971"/>
      <c r="H116" s="397"/>
      <c r="I116" s="397"/>
      <c r="J116" s="397"/>
      <c r="K116" s="397"/>
      <c r="L116" s="397"/>
      <c r="M116" s="397"/>
      <c r="N116" s="397"/>
      <c r="O116" s="465"/>
      <c r="P116" s="60"/>
      <c r="Q116" s="572"/>
      <c r="R116" s="60"/>
      <c r="S116" s="60"/>
      <c r="T116" s="60"/>
      <c r="U116" s="60"/>
      <c r="V116" s="10"/>
    </row>
    <row r="117" spans="1:22" ht="16.5" customHeight="1" x14ac:dyDescent="0.2">
      <c r="A117" s="808"/>
      <c r="B117" s="918" t="s">
        <v>535</v>
      </c>
      <c r="C117" s="919"/>
      <c r="D117" s="906" t="s">
        <v>821</v>
      </c>
      <c r="E117" s="921" t="s">
        <v>820</v>
      </c>
      <c r="F117" s="1001" t="s">
        <v>696</v>
      </c>
      <c r="G117" s="977"/>
      <c r="H117" s="909"/>
      <c r="I117" s="909"/>
      <c r="J117" s="909"/>
      <c r="K117" s="909"/>
      <c r="L117" s="909"/>
      <c r="M117" s="905"/>
      <c r="N117" s="910"/>
      <c r="O117" s="465"/>
      <c r="P117" s="60"/>
      <c r="Q117" s="572"/>
      <c r="R117" s="60"/>
      <c r="S117" s="60"/>
      <c r="T117" s="60"/>
      <c r="U117" s="60"/>
      <c r="V117" s="10"/>
    </row>
    <row r="118" spans="1:22" ht="16.5" customHeight="1" x14ac:dyDescent="0.2">
      <c r="A118" s="808"/>
      <c r="B118" s="498" t="s">
        <v>852</v>
      </c>
      <c r="C118" s="473"/>
      <c r="D118" s="1000">
        <f>КММ</f>
        <v>51</v>
      </c>
      <c r="E118" s="993">
        <f>SUM(D118*1.25)</f>
        <v>63.75</v>
      </c>
      <c r="F118" s="223" t="s">
        <v>330</v>
      </c>
      <c r="G118" s="230"/>
      <c r="H118" s="230"/>
      <c r="I118" s="230"/>
      <c r="J118" s="219"/>
      <c r="K118" s="219"/>
      <c r="L118" s="219"/>
      <c r="M118" s="219"/>
      <c r="N118" s="933"/>
      <c r="O118" s="465"/>
      <c r="P118" s="60"/>
      <c r="Q118" s="601"/>
      <c r="R118" s="60"/>
      <c r="S118" s="60"/>
      <c r="T118" s="60"/>
      <c r="U118" s="60"/>
      <c r="V118" s="10"/>
    </row>
    <row r="119" spans="1:22" ht="16.5" customHeight="1" thickBot="1" x14ac:dyDescent="0.25">
      <c r="A119" s="808"/>
      <c r="B119" s="994" t="s">
        <v>853</v>
      </c>
      <c r="C119" s="934"/>
      <c r="D119" s="982"/>
      <c r="E119" s="981"/>
      <c r="F119" s="935" t="s">
        <v>331</v>
      </c>
      <c r="G119" s="888"/>
      <c r="H119" s="888"/>
      <c r="I119" s="888"/>
      <c r="J119" s="890"/>
      <c r="K119" s="890"/>
      <c r="L119" s="890"/>
      <c r="M119" s="890"/>
      <c r="N119" s="936"/>
      <c r="O119" s="465"/>
      <c r="P119" s="60"/>
      <c r="Q119" s="572"/>
      <c r="R119" s="60"/>
      <c r="S119" s="60"/>
      <c r="T119" s="60"/>
      <c r="U119" s="60"/>
      <c r="V119" s="10"/>
    </row>
    <row r="120" spans="1:22" ht="12.75" customHeight="1" x14ac:dyDescent="0.2">
      <c r="A120" s="1"/>
      <c r="B120" s="625"/>
      <c r="C120" s="512"/>
      <c r="D120" s="626"/>
      <c r="E120" s="626"/>
      <c r="F120" s="627"/>
      <c r="G120" s="628"/>
      <c r="H120" s="380"/>
      <c r="I120" s="629"/>
      <c r="J120" s="541"/>
      <c r="K120" s="541"/>
      <c r="L120" s="541"/>
      <c r="M120" s="542"/>
      <c r="N120" s="379"/>
      <c r="O120" s="465"/>
      <c r="P120" s="60"/>
      <c r="Q120" s="601"/>
      <c r="R120" s="60"/>
      <c r="S120" s="60"/>
      <c r="T120" s="60"/>
      <c r="U120" s="60"/>
      <c r="V120" s="10"/>
    </row>
    <row r="121" spans="1:22" ht="12.75" customHeight="1" x14ac:dyDescent="0.2">
      <c r="A121" s="1"/>
      <c r="B121" s="228" t="s">
        <v>269</v>
      </c>
      <c r="C121" s="249"/>
      <c r="D121" s="254"/>
      <c r="E121" s="254"/>
      <c r="F121" s="251"/>
      <c r="G121" s="229"/>
      <c r="H121" s="229"/>
      <c r="I121" s="251"/>
      <c r="J121" s="251"/>
      <c r="K121" s="251"/>
      <c r="L121" s="229"/>
      <c r="M121" s="252"/>
      <c r="N121" s="252"/>
      <c r="O121" s="229"/>
      <c r="P121" s="34"/>
      <c r="Q121" s="572"/>
      <c r="R121" s="60"/>
      <c r="S121" s="60"/>
      <c r="T121" s="10"/>
      <c r="U121" s="10"/>
      <c r="V121" s="10"/>
    </row>
    <row r="122" spans="1:22" ht="12.75" customHeight="1" x14ac:dyDescent="0.2">
      <c r="A122" s="1"/>
      <c r="B122" s="255" t="s">
        <v>464</v>
      </c>
      <c r="C122" s="249"/>
      <c r="D122" s="254"/>
      <c r="E122" s="254"/>
      <c r="F122" s="251"/>
      <c r="G122" s="229"/>
      <c r="H122" s="229"/>
      <c r="I122" s="251"/>
      <c r="J122" s="251"/>
      <c r="K122" s="251"/>
      <c r="L122" s="229"/>
      <c r="M122" s="252"/>
      <c r="N122" s="252"/>
      <c r="O122" s="229"/>
      <c r="P122" s="34"/>
      <c r="Q122" s="604"/>
      <c r="R122" s="60"/>
      <c r="S122" s="60"/>
      <c r="T122" s="10"/>
      <c r="U122" s="10"/>
      <c r="V122" s="10"/>
    </row>
    <row r="123" spans="1:22" x14ac:dyDescent="0.2">
      <c r="A123" s="60"/>
      <c r="B123" s="554"/>
      <c r="C123" s="554"/>
      <c r="D123" s="357"/>
      <c r="E123" s="357"/>
      <c r="F123" s="555"/>
      <c r="G123" s="224"/>
      <c r="H123" s="224"/>
      <c r="I123" s="555"/>
      <c r="J123" s="555"/>
      <c r="K123" s="555"/>
      <c r="L123" s="224"/>
      <c r="M123" s="227"/>
      <c r="N123" s="227"/>
      <c r="O123" s="34"/>
      <c r="P123" s="34"/>
      <c r="Q123" s="34"/>
      <c r="R123" s="34"/>
    </row>
    <row r="124" spans="1:22" x14ac:dyDescent="0.2">
      <c r="A124" s="60"/>
      <c r="B124" s="554"/>
      <c r="C124" s="554"/>
      <c r="D124" s="357"/>
      <c r="E124" s="357"/>
      <c r="F124" s="555"/>
      <c r="G124" s="224"/>
      <c r="H124" s="224"/>
      <c r="I124" s="555"/>
      <c r="J124" s="555"/>
      <c r="K124" s="555"/>
      <c r="L124" s="224"/>
      <c r="M124" s="227"/>
      <c r="N124" s="227"/>
      <c r="O124" s="34"/>
      <c r="P124" s="34"/>
      <c r="Q124" s="34"/>
      <c r="R124" s="34"/>
    </row>
    <row r="125" spans="1:22" x14ac:dyDescent="0.2">
      <c r="A125" s="60"/>
      <c r="B125" s="60"/>
      <c r="C125" s="60"/>
      <c r="D125" s="60"/>
      <c r="E125" s="60"/>
      <c r="F125" s="60"/>
      <c r="G125" s="60"/>
      <c r="H125" s="60"/>
      <c r="I125" s="60"/>
      <c r="J125" s="60"/>
      <c r="K125" s="60"/>
      <c r="L125" s="60"/>
      <c r="M125" s="60"/>
      <c r="N125" s="60"/>
    </row>
    <row r="126" spans="1:22" x14ac:dyDescent="0.2">
      <c r="A126" s="60"/>
      <c r="B126" s="60"/>
      <c r="C126" s="60"/>
      <c r="D126" s="60"/>
      <c r="E126" s="60"/>
      <c r="F126" s="60"/>
      <c r="G126" s="60"/>
      <c r="H126" s="60"/>
      <c r="I126" s="60"/>
      <c r="J126" s="60"/>
      <c r="K126" s="60"/>
      <c r="L126" s="60"/>
      <c r="M126" s="60"/>
      <c r="N126" s="60"/>
    </row>
    <row r="127" spans="1:22" x14ac:dyDescent="0.2">
      <c r="A127" s="34"/>
      <c r="B127" s="34"/>
      <c r="C127" s="34"/>
      <c r="D127" s="34"/>
      <c r="E127" s="34"/>
      <c r="F127" s="34"/>
      <c r="G127" s="34"/>
      <c r="H127" s="34"/>
      <c r="I127" s="34"/>
      <c r="J127" s="34"/>
      <c r="K127" s="34"/>
      <c r="L127" s="34"/>
      <c r="M127" s="34"/>
      <c r="N127" s="34"/>
    </row>
  </sheetData>
  <mergeCells count="31">
    <mergeCell ref="B1:N1"/>
    <mergeCell ref="B2:N2"/>
    <mergeCell ref="B3:N3"/>
    <mergeCell ref="B36:C36"/>
    <mergeCell ref="F62:N62"/>
    <mergeCell ref="F63:N63"/>
    <mergeCell ref="F74:N74"/>
    <mergeCell ref="F71:N71"/>
    <mergeCell ref="B72:C72"/>
    <mergeCell ref="B71:C71"/>
    <mergeCell ref="F72:N72"/>
    <mergeCell ref="F45:N45"/>
    <mergeCell ref="F52:N52"/>
    <mergeCell ref="B81:C81"/>
    <mergeCell ref="B73:C73"/>
    <mergeCell ref="F73:N73"/>
    <mergeCell ref="B74:C74"/>
    <mergeCell ref="F59:N59"/>
    <mergeCell ref="F61:N61"/>
    <mergeCell ref="F60:N60"/>
    <mergeCell ref="B86:C86"/>
    <mergeCell ref="B85:C85"/>
    <mergeCell ref="B75:C75"/>
    <mergeCell ref="F86:N86"/>
    <mergeCell ref="F75:N75"/>
    <mergeCell ref="F79:N79"/>
    <mergeCell ref="F80:N80"/>
    <mergeCell ref="F81:N81"/>
    <mergeCell ref="F85:N85"/>
    <mergeCell ref="B80:C80"/>
    <mergeCell ref="B79:C79"/>
  </mergeCells>
  <phoneticPr fontId="9" type="noConversion"/>
  <pageMargins left="0.70866141732283472" right="0.35433070866141736" top="0.74803149606299213" bottom="0.59055118110236227" header="0.39370078740157483" footer="0.51181102362204722"/>
  <pageSetup paperSize="9" scale="54" fitToHeight="7" orientation="portrait" verticalDpi="1200" r:id="rId1"/>
  <headerFooter alignWithMargins="0"/>
  <rowBreaks count="1" manualBreakCount="1">
    <brk id="63"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9"/>
  <sheetViews>
    <sheetView zoomScaleNormal="100" workbookViewId="0">
      <pane ySplit="1" topLeftCell="A2" activePane="bottomLeft" state="frozen"/>
      <selection pane="bottomLeft" activeCell="B3" sqref="B3"/>
    </sheetView>
  </sheetViews>
  <sheetFormatPr defaultRowHeight="12.75" x14ac:dyDescent="0.2"/>
  <cols>
    <col min="1" max="1" width="2" customWidth="1"/>
    <col min="2" max="2" width="22.85546875" customWidth="1"/>
    <col min="3" max="3" width="10.5703125" customWidth="1"/>
    <col min="4" max="5" width="8" customWidth="1"/>
    <col min="6" max="6" width="10.85546875" customWidth="1"/>
    <col min="7" max="7" width="10.5703125" customWidth="1"/>
    <col min="8" max="8" width="13.85546875" customWidth="1"/>
    <col min="9" max="9" width="11.7109375" customWidth="1"/>
    <col min="10" max="10" width="14.140625" customWidth="1"/>
    <col min="11" max="11" width="14.85546875" customWidth="1"/>
    <col min="12" max="12" width="16.5703125" customWidth="1"/>
    <col min="13" max="13" width="11.140625" customWidth="1"/>
    <col min="14" max="14" width="14" customWidth="1"/>
    <col min="15" max="15" width="16" customWidth="1"/>
    <col min="16" max="16" width="9.140625" hidden="1" customWidth="1"/>
  </cols>
  <sheetData>
    <row r="1" spans="1:24" ht="81" customHeight="1" x14ac:dyDescent="0.2">
      <c r="C1" s="5"/>
      <c r="D1" s="5"/>
      <c r="E1" s="5"/>
      <c r="F1" s="5"/>
      <c r="G1" s="5"/>
      <c r="H1" s="9"/>
      <c r="I1" s="9"/>
      <c r="J1" s="9"/>
      <c r="K1" s="9"/>
      <c r="L1" s="21"/>
      <c r="M1" s="21"/>
      <c r="N1" s="221"/>
      <c r="O1" s="10"/>
      <c r="P1" s="11"/>
      <c r="Q1" s="1"/>
      <c r="R1" s="1"/>
      <c r="S1" s="1"/>
      <c r="T1" s="1"/>
      <c r="U1" s="10"/>
    </row>
    <row r="2" spans="1:24" ht="15" customHeight="1" x14ac:dyDescent="0.2">
      <c r="A2" s="1"/>
      <c r="B2" s="20"/>
      <c r="C2" s="1"/>
      <c r="D2" s="1127"/>
      <c r="E2" s="23"/>
      <c r="F2" s="23"/>
      <c r="G2" s="23"/>
      <c r="H2" s="23"/>
      <c r="I2" s="125"/>
      <c r="J2" s="125"/>
      <c r="K2" s="475"/>
      <c r="L2" s="256" t="s">
        <v>1395</v>
      </c>
      <c r="M2" s="476"/>
      <c r="N2" s="59"/>
      <c r="O2" s="417"/>
      <c r="P2" s="34"/>
      <c r="Q2" s="34"/>
      <c r="R2" s="34"/>
      <c r="S2" s="34"/>
      <c r="T2" s="60"/>
      <c r="U2" s="60"/>
      <c r="V2" s="60"/>
      <c r="W2" s="34"/>
      <c r="X2" s="34"/>
    </row>
    <row r="3" spans="1:24" ht="37.5" customHeight="1" thickBot="1" x14ac:dyDescent="0.25">
      <c r="A3" s="1"/>
      <c r="B3" s="1128" t="s">
        <v>978</v>
      </c>
      <c r="C3" s="810"/>
      <c r="D3" s="811"/>
      <c r="E3" s="811"/>
      <c r="F3" s="811"/>
      <c r="G3" s="811"/>
      <c r="H3" s="812"/>
      <c r="I3" s="813"/>
      <c r="J3" s="814"/>
      <c r="K3" s="954"/>
      <c r="L3" s="955"/>
      <c r="M3" s="956"/>
      <c r="N3" s="817"/>
      <c r="O3" s="418"/>
      <c r="P3" s="60"/>
      <c r="Q3" s="602"/>
      <c r="R3" s="60"/>
      <c r="S3" s="60"/>
      <c r="T3" s="60"/>
      <c r="U3" s="60"/>
      <c r="V3" s="60"/>
      <c r="W3" s="34"/>
      <c r="X3" s="34"/>
    </row>
    <row r="4" spans="1:24" ht="22.5" customHeight="1" x14ac:dyDescent="0.25">
      <c r="A4" s="808"/>
      <c r="B4" s="806" t="s">
        <v>979</v>
      </c>
      <c r="C4" s="806"/>
      <c r="D4" s="806"/>
      <c r="E4" s="806"/>
      <c r="F4" s="806"/>
      <c r="G4" s="806"/>
      <c r="H4" s="65"/>
      <c r="I4" s="65"/>
      <c r="J4" s="65"/>
      <c r="K4" s="65"/>
      <c r="L4" s="65"/>
      <c r="M4" s="65"/>
      <c r="N4" s="818"/>
      <c r="O4" s="418"/>
      <c r="P4" s="2"/>
      <c r="Q4" s="602"/>
      <c r="R4" s="60"/>
      <c r="S4" s="60"/>
      <c r="T4" s="60"/>
      <c r="U4" s="60"/>
      <c r="V4" s="10"/>
    </row>
    <row r="5" spans="1:24" ht="15" customHeight="1" x14ac:dyDescent="0.2">
      <c r="A5" s="808"/>
      <c r="B5" s="61" t="s">
        <v>832</v>
      </c>
      <c r="C5" s="61"/>
      <c r="D5" s="61"/>
      <c r="E5" s="61"/>
      <c r="F5" s="61"/>
      <c r="G5" s="61"/>
      <c r="H5" s="65"/>
      <c r="I5" s="65"/>
      <c r="J5" s="65"/>
      <c r="K5" s="65"/>
      <c r="L5" s="65"/>
      <c r="M5" s="65"/>
      <c r="N5" s="819"/>
      <c r="O5" s="418"/>
      <c r="P5" s="2"/>
      <c r="Q5" s="33"/>
      <c r="R5" s="60"/>
      <c r="S5" s="60"/>
      <c r="T5" s="60"/>
      <c r="U5" s="60"/>
    </row>
    <row r="6" spans="1:24" ht="15" customHeight="1" x14ac:dyDescent="0.2">
      <c r="A6" s="808"/>
      <c r="B6" s="61" t="s">
        <v>681</v>
      </c>
      <c r="C6" s="61"/>
      <c r="D6" s="61"/>
      <c r="E6" s="61"/>
      <c r="F6" s="61"/>
      <c r="G6" s="61"/>
      <c r="H6" s="65"/>
      <c r="I6" s="65"/>
      <c r="J6" s="65"/>
      <c r="K6" s="65"/>
      <c r="L6" s="65"/>
      <c r="M6" s="65"/>
      <c r="N6" s="819"/>
      <c r="O6" s="418"/>
      <c r="P6" s="2"/>
      <c r="Q6" s="60"/>
      <c r="R6" s="60"/>
      <c r="S6" s="60"/>
      <c r="T6" s="60"/>
      <c r="U6" s="60"/>
      <c r="V6" s="10"/>
      <c r="W6" s="10"/>
    </row>
    <row r="7" spans="1:24" ht="15" customHeight="1" x14ac:dyDescent="0.2">
      <c r="A7" s="808"/>
      <c r="B7" s="65" t="s">
        <v>833</v>
      </c>
      <c r="C7" s="61"/>
      <c r="D7" s="61"/>
      <c r="E7" s="61"/>
      <c r="F7" s="61"/>
      <c r="G7" s="61"/>
      <c r="H7" s="65"/>
      <c r="I7" s="65"/>
      <c r="J7" s="65"/>
      <c r="K7" s="65"/>
      <c r="L7" s="65"/>
      <c r="M7" s="65"/>
      <c r="N7" s="819"/>
      <c r="O7" s="418"/>
      <c r="P7" s="2"/>
      <c r="Q7" s="602"/>
      <c r="R7" s="60"/>
      <c r="S7" s="60"/>
      <c r="T7" s="60"/>
      <c r="U7" s="60"/>
      <c r="V7" s="10"/>
      <c r="W7" s="10"/>
    </row>
    <row r="8" spans="1:24" ht="15" customHeight="1" x14ac:dyDescent="0.2">
      <c r="A8" s="808"/>
      <c r="B8" s="65" t="s">
        <v>908</v>
      </c>
      <c r="C8" s="65"/>
      <c r="D8" s="65"/>
      <c r="E8" s="65"/>
      <c r="F8" s="65"/>
      <c r="G8" s="65"/>
      <c r="H8" s="65"/>
      <c r="I8" s="65"/>
      <c r="J8" s="65"/>
      <c r="K8" s="65"/>
      <c r="L8" s="65"/>
      <c r="M8" s="65"/>
      <c r="N8" s="819"/>
      <c r="O8" s="418"/>
      <c r="P8" s="2"/>
      <c r="Q8" s="33"/>
      <c r="R8" s="60"/>
      <c r="S8" s="60"/>
      <c r="T8" s="60"/>
      <c r="U8" s="60"/>
      <c r="V8" s="10"/>
      <c r="W8" s="10"/>
    </row>
    <row r="9" spans="1:24" ht="15" customHeight="1" x14ac:dyDescent="0.2">
      <c r="A9" s="808"/>
      <c r="B9" s="61" t="s">
        <v>462</v>
      </c>
      <c r="C9" s="61"/>
      <c r="D9" s="61"/>
      <c r="E9" s="61"/>
      <c r="F9" s="61"/>
      <c r="G9" s="61"/>
      <c r="H9" s="65"/>
      <c r="I9" s="65"/>
      <c r="J9" s="65"/>
      <c r="K9" s="65"/>
      <c r="L9" s="65"/>
      <c r="M9" s="65"/>
      <c r="N9" s="819"/>
      <c r="O9" s="418"/>
      <c r="P9" s="2"/>
      <c r="Q9" s="33"/>
      <c r="R9" s="60"/>
      <c r="S9" s="60"/>
      <c r="T9" s="60"/>
      <c r="U9" s="60"/>
      <c r="V9" s="10"/>
      <c r="W9" s="10"/>
    </row>
    <row r="10" spans="1:24" ht="15" customHeight="1" x14ac:dyDescent="0.2">
      <c r="A10" s="808"/>
      <c r="B10" s="61" t="s">
        <v>291</v>
      </c>
      <c r="C10" s="61"/>
      <c r="D10" s="61"/>
      <c r="E10" s="61"/>
      <c r="F10" s="61"/>
      <c r="G10" s="61"/>
      <c r="H10" s="65"/>
      <c r="I10" s="65"/>
      <c r="J10" s="65"/>
      <c r="K10" s="65"/>
      <c r="L10" s="65"/>
      <c r="M10" s="65"/>
      <c r="N10" s="819"/>
      <c r="O10" s="418"/>
      <c r="P10" s="2"/>
      <c r="Q10" s="60"/>
      <c r="R10" s="60"/>
      <c r="S10" s="60"/>
      <c r="T10" s="60"/>
      <c r="U10" s="60"/>
      <c r="V10" s="10"/>
      <c r="W10" s="10"/>
    </row>
    <row r="11" spans="1:24" ht="15" customHeight="1" x14ac:dyDescent="0.2">
      <c r="A11" s="808"/>
      <c r="B11" s="61" t="s">
        <v>214</v>
      </c>
      <c r="C11" s="61"/>
      <c r="D11" s="61"/>
      <c r="E11" s="61"/>
      <c r="F11" s="61"/>
      <c r="G11" s="61"/>
      <c r="H11" s="65"/>
      <c r="I11" s="65"/>
      <c r="J11" s="65"/>
      <c r="K11" s="65"/>
      <c r="L11" s="65"/>
      <c r="M11" s="65"/>
      <c r="N11" s="819"/>
      <c r="O11" s="418"/>
      <c r="P11" s="2"/>
      <c r="Q11" s="602"/>
      <c r="R11" s="60"/>
      <c r="S11" s="60"/>
      <c r="T11" s="60"/>
      <c r="U11" s="60"/>
      <c r="V11" s="10"/>
      <c r="W11" s="10"/>
    </row>
    <row r="12" spans="1:24" ht="15" customHeight="1" x14ac:dyDescent="0.2">
      <c r="A12" s="808"/>
      <c r="B12" s="61" t="s">
        <v>1069</v>
      </c>
      <c r="C12" s="61"/>
      <c r="D12" s="61"/>
      <c r="E12" s="61"/>
      <c r="F12" s="61"/>
      <c r="G12" s="61"/>
      <c r="H12" s="65"/>
      <c r="I12" s="65"/>
      <c r="J12" s="65"/>
      <c r="K12" s="65"/>
      <c r="L12" s="65"/>
      <c r="M12" s="65"/>
      <c r="N12" s="819"/>
      <c r="O12" s="418"/>
      <c r="P12" s="2"/>
      <c r="Q12" s="33"/>
      <c r="R12" s="60"/>
      <c r="S12" s="60"/>
      <c r="T12" s="60"/>
      <c r="U12" s="60"/>
      <c r="V12" s="10"/>
      <c r="W12" s="10"/>
    </row>
    <row r="13" spans="1:24" ht="15" customHeight="1" x14ac:dyDescent="0.2">
      <c r="A13" s="808"/>
      <c r="B13" s="61" t="s">
        <v>971</v>
      </c>
      <c r="C13" s="61"/>
      <c r="D13" s="61"/>
      <c r="E13" s="61"/>
      <c r="F13" s="61"/>
      <c r="G13" s="61"/>
      <c r="H13" s="65"/>
      <c r="I13" s="65"/>
      <c r="J13" s="65"/>
      <c r="K13" s="65"/>
      <c r="L13" s="65"/>
      <c r="M13" s="65"/>
      <c r="N13" s="819"/>
      <c r="O13" s="418"/>
      <c r="P13" s="2"/>
      <c r="Q13" s="60"/>
      <c r="R13" s="60"/>
      <c r="S13" s="60"/>
      <c r="T13" s="60"/>
      <c r="U13" s="60"/>
      <c r="V13" s="10"/>
      <c r="W13" s="10"/>
    </row>
    <row r="14" spans="1:24" ht="15" customHeight="1" x14ac:dyDescent="0.2">
      <c r="A14" s="808"/>
      <c r="B14" s="61" t="s">
        <v>847</v>
      </c>
      <c r="C14" s="61"/>
      <c r="D14" s="61"/>
      <c r="E14" s="61"/>
      <c r="F14" s="61"/>
      <c r="G14" s="61"/>
      <c r="H14" s="65"/>
      <c r="I14" s="65"/>
      <c r="J14" s="65"/>
      <c r="K14" s="65"/>
      <c r="L14" s="65"/>
      <c r="M14" s="65"/>
      <c r="N14" s="819"/>
      <c r="O14" s="418"/>
      <c r="P14" s="2"/>
      <c r="Q14" s="602"/>
      <c r="R14" s="60"/>
      <c r="S14" s="60"/>
      <c r="T14" s="60"/>
      <c r="U14" s="60"/>
      <c r="V14" s="10"/>
      <c r="W14" s="10"/>
    </row>
    <row r="15" spans="1:24" ht="15" customHeight="1" thickBot="1" x14ac:dyDescent="0.25">
      <c r="A15" s="808"/>
      <c r="B15" s="958"/>
      <c r="C15" s="959"/>
      <c r="D15" s="959"/>
      <c r="E15" s="959"/>
      <c r="F15" s="959"/>
      <c r="G15" s="959"/>
      <c r="H15" s="960"/>
      <c r="I15" s="960"/>
      <c r="J15" s="960"/>
      <c r="K15" s="960"/>
      <c r="L15" s="960"/>
      <c r="M15" s="960"/>
      <c r="N15" s="961"/>
      <c r="O15" s="418"/>
      <c r="P15" s="2"/>
      <c r="Q15" s="33"/>
      <c r="R15" s="60"/>
      <c r="S15" s="60"/>
      <c r="T15" s="60"/>
      <c r="U15" s="60"/>
      <c r="V15" s="10"/>
      <c r="W15" s="10"/>
    </row>
    <row r="16" spans="1:24" ht="15" customHeight="1" x14ac:dyDescent="0.2">
      <c r="A16" s="2"/>
      <c r="B16" s="607"/>
      <c r="C16" s="608"/>
      <c r="D16" s="957"/>
      <c r="E16" s="643"/>
      <c r="F16" s="608"/>
      <c r="G16" s="609"/>
      <c r="H16" s="610"/>
      <c r="I16" s="611"/>
      <c r="J16" s="224"/>
      <c r="K16" s="612"/>
      <c r="L16" s="610"/>
      <c r="M16" s="611"/>
      <c r="N16" s="613"/>
      <c r="O16" s="418"/>
      <c r="P16" s="2"/>
      <c r="Q16" s="60"/>
      <c r="R16" s="60"/>
      <c r="S16" s="60"/>
      <c r="T16" s="60"/>
      <c r="U16" s="60"/>
      <c r="V16" s="10"/>
      <c r="W16" s="10"/>
    </row>
    <row r="17" spans="1:23" ht="15" customHeight="1" x14ac:dyDescent="0.2">
      <c r="A17" s="2"/>
      <c r="B17" s="614"/>
      <c r="C17" s="615"/>
      <c r="D17" s="645"/>
      <c r="E17" s="644"/>
      <c r="F17" s="616"/>
      <c r="G17" s="617"/>
      <c r="H17" s="618"/>
      <c r="I17" s="618"/>
      <c r="J17" s="618"/>
      <c r="K17" s="619"/>
      <c r="L17" s="224"/>
      <c r="M17" s="618"/>
      <c r="N17" s="620"/>
      <c r="O17" s="418"/>
      <c r="P17" s="2"/>
      <c r="Q17" s="33"/>
      <c r="R17" s="60"/>
      <c r="S17" s="60"/>
      <c r="T17" s="60"/>
      <c r="U17" s="60"/>
      <c r="V17" s="10"/>
      <c r="W17" s="10"/>
    </row>
    <row r="18" spans="1:23" ht="15" customHeight="1" thickBot="1" x14ac:dyDescent="0.25">
      <c r="A18" s="1"/>
      <c r="B18" s="888"/>
      <c r="C18" s="962"/>
      <c r="D18" s="963"/>
      <c r="E18" s="964"/>
      <c r="F18" s="888"/>
      <c r="G18" s="888"/>
      <c r="H18" s="888"/>
      <c r="I18" s="890"/>
      <c r="J18" s="890"/>
      <c r="K18" s="890"/>
      <c r="L18" s="890"/>
      <c r="M18" s="890"/>
      <c r="N18" s="965"/>
      <c r="O18" s="418"/>
      <c r="P18" s="2"/>
      <c r="Q18" s="33"/>
      <c r="R18" s="60"/>
      <c r="S18" s="60"/>
      <c r="T18" s="60"/>
      <c r="U18" s="60"/>
      <c r="V18" s="10"/>
      <c r="W18" s="10"/>
    </row>
    <row r="19" spans="1:23" ht="7.5" customHeight="1" x14ac:dyDescent="0.2">
      <c r="A19" s="808"/>
      <c r="B19" s="979"/>
      <c r="C19" s="980"/>
      <c r="D19" s="980"/>
      <c r="E19" s="980"/>
      <c r="F19" s="980"/>
      <c r="G19" s="980"/>
      <c r="H19" s="980"/>
      <c r="I19" s="980"/>
      <c r="J19" s="980"/>
      <c r="K19" s="980"/>
      <c r="L19" s="980"/>
      <c r="M19" s="980"/>
      <c r="N19" s="892"/>
      <c r="O19" s="418"/>
      <c r="P19" s="2"/>
      <c r="Q19" s="60"/>
      <c r="R19" s="60"/>
      <c r="S19" s="60"/>
      <c r="T19" s="60"/>
      <c r="U19" s="60"/>
      <c r="V19" s="10"/>
      <c r="W19" s="10"/>
    </row>
    <row r="20" spans="1:23" ht="30" customHeight="1" x14ac:dyDescent="0.2">
      <c r="A20" s="808"/>
      <c r="B20" s="551" t="s">
        <v>1111</v>
      </c>
      <c r="C20" s="456"/>
      <c r="D20" s="456"/>
      <c r="E20" s="456"/>
      <c r="F20" s="456"/>
      <c r="G20" s="456"/>
      <c r="H20" s="456"/>
      <c r="I20" s="456"/>
      <c r="J20" s="456"/>
      <c r="K20" s="456"/>
      <c r="L20" s="456"/>
      <c r="M20" s="456"/>
      <c r="N20" s="893"/>
      <c r="O20" s="418"/>
      <c r="P20" s="2"/>
      <c r="Q20" s="33"/>
      <c r="R20" s="60"/>
      <c r="S20" s="60"/>
      <c r="T20" s="60"/>
      <c r="U20" s="60"/>
      <c r="V20" s="10"/>
      <c r="W20" s="10"/>
    </row>
    <row r="21" spans="1:23" ht="13.5" customHeight="1" x14ac:dyDescent="0.2">
      <c r="A21" s="808"/>
      <c r="B21" s="419"/>
      <c r="C21" s="419"/>
      <c r="D21" s="1700" t="s">
        <v>249</v>
      </c>
      <c r="E21" s="1700"/>
      <c r="F21" s="1700"/>
      <c r="G21" s="1700"/>
      <c r="H21" s="1700"/>
      <c r="I21" s="1700"/>
      <c r="J21" s="1700"/>
      <c r="K21" s="1700"/>
      <c r="L21" s="1700"/>
      <c r="M21" s="1700"/>
      <c r="N21" s="1701"/>
      <c r="O21" s="418"/>
      <c r="P21" s="2"/>
      <c r="Q21" s="60"/>
      <c r="R21" s="60"/>
      <c r="S21" s="60"/>
      <c r="T21" s="60"/>
      <c r="U21" s="60"/>
      <c r="V21" s="10"/>
      <c r="W21" s="10"/>
    </row>
    <row r="22" spans="1:23" ht="13.5" customHeight="1" x14ac:dyDescent="0.2">
      <c r="A22" s="808"/>
      <c r="B22" s="419"/>
      <c r="C22" s="419"/>
      <c r="D22" s="1700" t="s">
        <v>266</v>
      </c>
      <c r="E22" s="1700"/>
      <c r="F22" s="1700"/>
      <c r="G22" s="1700"/>
      <c r="H22" s="1700"/>
      <c r="I22" s="1700"/>
      <c r="J22" s="1700"/>
      <c r="K22" s="1700"/>
      <c r="L22" s="1700"/>
      <c r="M22" s="1700"/>
      <c r="N22" s="1701"/>
      <c r="O22" s="418"/>
      <c r="P22" s="2"/>
      <c r="Q22" s="33"/>
      <c r="R22" s="60"/>
      <c r="S22" s="60"/>
      <c r="T22" s="60"/>
      <c r="U22" s="60"/>
      <c r="V22" s="10"/>
      <c r="W22" s="10"/>
    </row>
    <row r="23" spans="1:23" ht="13.5" customHeight="1" x14ac:dyDescent="0.2">
      <c r="A23" s="808"/>
      <c r="B23" s="419"/>
      <c r="C23" s="419"/>
      <c r="D23" s="1702" t="s">
        <v>1112</v>
      </c>
      <c r="E23" s="1702"/>
      <c r="F23" s="1700"/>
      <c r="G23" s="1700"/>
      <c r="H23" s="1700"/>
      <c r="I23" s="1700"/>
      <c r="J23" s="1700"/>
      <c r="K23" s="1700"/>
      <c r="L23" s="1700"/>
      <c r="M23" s="1700"/>
      <c r="N23" s="1701"/>
      <c r="O23" s="418"/>
      <c r="P23" s="2"/>
      <c r="Q23" s="33"/>
      <c r="R23" s="60"/>
      <c r="S23" s="60"/>
      <c r="T23" s="60"/>
      <c r="U23" s="60"/>
      <c r="V23" s="10"/>
      <c r="W23" s="10"/>
    </row>
    <row r="24" spans="1:23" ht="13.5" customHeight="1" x14ac:dyDescent="0.2">
      <c r="A24" s="808"/>
      <c r="C24" s="419"/>
      <c r="D24" s="1702" t="s">
        <v>1113</v>
      </c>
      <c r="E24" s="1702"/>
      <c r="F24" s="1700"/>
      <c r="G24" s="1700"/>
      <c r="H24" s="1700"/>
      <c r="I24" s="1700"/>
      <c r="J24" s="1700"/>
      <c r="K24" s="1700"/>
      <c r="L24" s="1700"/>
      <c r="M24" s="1700"/>
      <c r="N24" s="1701"/>
      <c r="O24" s="401"/>
      <c r="P24" s="2"/>
      <c r="Q24" s="33"/>
      <c r="R24" s="60"/>
      <c r="S24" s="60"/>
      <c r="T24" s="60"/>
      <c r="U24" s="60"/>
      <c r="V24" s="60"/>
    </row>
    <row r="25" spans="1:23" ht="13.5" customHeight="1" x14ac:dyDescent="0.2">
      <c r="A25" s="808"/>
      <c r="B25" s="419"/>
      <c r="C25" s="419"/>
      <c r="D25" s="1702" t="s">
        <v>1114</v>
      </c>
      <c r="E25" s="1702"/>
      <c r="F25" s="1700"/>
      <c r="G25" s="1700"/>
      <c r="H25" s="1700"/>
      <c r="I25" s="1700"/>
      <c r="J25" s="1700"/>
      <c r="K25" s="1700"/>
      <c r="L25" s="1700"/>
      <c r="M25" s="1700"/>
      <c r="N25" s="1701"/>
      <c r="O25" s="401"/>
      <c r="P25" s="2"/>
      <c r="Q25" s="60"/>
      <c r="R25" s="60"/>
      <c r="S25" s="60"/>
      <c r="T25" s="60"/>
      <c r="U25" s="60"/>
      <c r="V25" s="60"/>
    </row>
    <row r="26" spans="1:23" ht="13.5" customHeight="1" x14ac:dyDescent="0.2">
      <c r="A26" s="808"/>
      <c r="B26" s="419"/>
      <c r="C26" s="419"/>
      <c r="D26" s="1702" t="s">
        <v>1115</v>
      </c>
      <c r="E26" s="1702"/>
      <c r="F26" s="1700"/>
      <c r="G26" s="1700"/>
      <c r="H26" s="1700"/>
      <c r="I26" s="1700"/>
      <c r="J26" s="1700"/>
      <c r="K26" s="1700"/>
      <c r="L26" s="1700"/>
      <c r="M26" s="1700"/>
      <c r="N26" s="1701"/>
      <c r="O26" s="401"/>
      <c r="P26" s="2"/>
      <c r="Q26" s="602"/>
      <c r="R26" s="60"/>
      <c r="S26" s="60"/>
      <c r="T26" s="60"/>
      <c r="U26" s="60"/>
      <c r="V26" s="60"/>
    </row>
    <row r="27" spans="1:23" ht="13.5" customHeight="1" x14ac:dyDescent="0.2">
      <c r="A27" s="808"/>
      <c r="B27" s="419"/>
      <c r="C27" s="419"/>
      <c r="D27" s="1702" t="s">
        <v>465</v>
      </c>
      <c r="E27" s="1702"/>
      <c r="F27" s="1700"/>
      <c r="G27" s="1700"/>
      <c r="H27" s="1700"/>
      <c r="I27" s="1700"/>
      <c r="J27" s="1700"/>
      <c r="K27" s="1700"/>
      <c r="L27" s="1700"/>
      <c r="M27" s="1700"/>
      <c r="N27" s="1701"/>
      <c r="O27" s="401"/>
      <c r="P27" s="2"/>
      <c r="Q27" s="602"/>
      <c r="R27" s="60"/>
      <c r="S27" s="60"/>
      <c r="T27" s="60"/>
      <c r="U27" s="60"/>
      <c r="V27" s="60"/>
    </row>
    <row r="28" spans="1:23" ht="13.5" customHeight="1" x14ac:dyDescent="0.2">
      <c r="A28" s="808"/>
      <c r="B28" s="419"/>
      <c r="C28" s="419"/>
      <c r="D28" s="1702" t="s">
        <v>466</v>
      </c>
      <c r="E28" s="1702"/>
      <c r="F28" s="1700"/>
      <c r="G28" s="1700"/>
      <c r="H28" s="1700"/>
      <c r="I28" s="1700"/>
      <c r="J28" s="1700"/>
      <c r="K28" s="1700"/>
      <c r="L28" s="1700"/>
      <c r="M28" s="1700"/>
      <c r="N28" s="1701"/>
      <c r="O28" s="401"/>
      <c r="P28" s="2"/>
      <c r="Q28" s="602"/>
      <c r="R28" s="60"/>
      <c r="S28" s="60"/>
      <c r="T28" s="60"/>
      <c r="U28" s="60"/>
      <c r="V28" s="60"/>
    </row>
    <row r="29" spans="1:23" ht="13.5" customHeight="1" x14ac:dyDescent="0.2">
      <c r="A29" s="808"/>
      <c r="B29" s="1928"/>
      <c r="C29" s="1928"/>
      <c r="D29" s="1700"/>
      <c r="E29" s="1700"/>
      <c r="F29" s="1703"/>
      <c r="G29" s="1703"/>
      <c r="H29" s="1703"/>
      <c r="I29" s="1703"/>
      <c r="J29" s="1703"/>
      <c r="K29" s="1703"/>
      <c r="L29" s="1703"/>
      <c r="M29" s="1703"/>
      <c r="N29" s="1704"/>
      <c r="O29" s="401"/>
      <c r="P29" s="2"/>
      <c r="Q29" s="33"/>
      <c r="R29" s="60"/>
      <c r="S29" s="60"/>
      <c r="T29" s="60"/>
      <c r="U29" s="60"/>
      <c r="V29" s="60"/>
    </row>
    <row r="30" spans="1:23" ht="13.5" customHeight="1" x14ac:dyDescent="0.2">
      <c r="A30" s="808"/>
      <c r="B30" s="419"/>
      <c r="C30" s="419"/>
      <c r="D30" s="1700" t="s">
        <v>467</v>
      </c>
      <c r="E30" s="1700"/>
      <c r="F30" s="1703"/>
      <c r="G30" s="1703"/>
      <c r="H30" s="1703"/>
      <c r="I30" s="1703"/>
      <c r="J30" s="1703"/>
      <c r="K30" s="1703"/>
      <c r="L30" s="1703"/>
      <c r="M30" s="1703"/>
      <c r="N30" s="1704"/>
      <c r="O30" s="401"/>
      <c r="P30" s="2"/>
      <c r="Q30" s="60"/>
      <c r="R30" s="60"/>
      <c r="S30" s="60"/>
      <c r="T30" s="60"/>
      <c r="U30" s="60"/>
      <c r="V30" s="60"/>
    </row>
    <row r="31" spans="1:23" ht="13.5" customHeight="1" thickBot="1" x14ac:dyDescent="0.25">
      <c r="A31" s="808"/>
      <c r="B31" s="896"/>
      <c r="C31" s="896"/>
      <c r="D31" s="1705"/>
      <c r="E31" s="1705"/>
      <c r="F31" s="1706"/>
      <c r="G31" s="1706"/>
      <c r="H31" s="1706"/>
      <c r="I31" s="1706"/>
      <c r="J31" s="1706"/>
      <c r="K31" s="1706"/>
      <c r="L31" s="1706"/>
      <c r="M31" s="1706"/>
      <c r="N31" s="1707"/>
      <c r="O31" s="401"/>
      <c r="P31" s="2"/>
      <c r="Q31" s="33"/>
      <c r="R31" s="60"/>
      <c r="S31" s="60"/>
      <c r="T31" s="60"/>
      <c r="U31" s="60"/>
      <c r="V31" s="60"/>
    </row>
    <row r="32" spans="1:23" ht="16.5" customHeight="1" x14ac:dyDescent="0.2">
      <c r="A32" s="1"/>
      <c r="B32" s="393"/>
      <c r="C32" s="419"/>
      <c r="D32" s="3"/>
      <c r="F32" s="462"/>
      <c r="G32" s="462"/>
      <c r="H32" s="462"/>
      <c r="I32" s="462"/>
      <c r="J32" s="462"/>
      <c r="K32" s="462"/>
      <c r="L32" s="462"/>
      <c r="M32" s="462"/>
      <c r="N32" s="254"/>
      <c r="O32" s="401"/>
      <c r="P32" s="2"/>
      <c r="Q32" s="33"/>
      <c r="R32" s="60"/>
      <c r="S32" s="60"/>
      <c r="T32" s="60"/>
      <c r="U32" s="60"/>
      <c r="V32" s="60"/>
    </row>
    <row r="33" spans="1:22" ht="16.5" customHeight="1" x14ac:dyDescent="0.2">
      <c r="A33" s="1"/>
      <c r="B33" s="419"/>
      <c r="C33" s="419"/>
      <c r="D33" s="457"/>
      <c r="E33" s="457"/>
      <c r="F33" s="459"/>
      <c r="H33" s="459"/>
      <c r="I33" s="459"/>
      <c r="J33" s="459"/>
      <c r="K33" s="459"/>
      <c r="L33" s="459"/>
      <c r="M33" s="462"/>
      <c r="N33" s="462"/>
      <c r="O33" s="401"/>
      <c r="P33" s="2"/>
      <c r="Q33" s="33"/>
      <c r="R33" s="60"/>
      <c r="S33" s="60"/>
      <c r="T33" s="60"/>
      <c r="U33" s="60"/>
      <c r="V33" s="60"/>
    </row>
    <row r="34" spans="1:22" ht="16.5" customHeight="1" x14ac:dyDescent="0.2">
      <c r="A34" s="1"/>
      <c r="B34" s="419"/>
      <c r="C34" s="419"/>
      <c r="D34" s="520"/>
      <c r="E34" s="520"/>
      <c r="F34" s="521"/>
      <c r="G34" s="521"/>
      <c r="H34" s="521"/>
      <c r="I34" s="521"/>
      <c r="J34" s="521"/>
      <c r="K34" s="521"/>
      <c r="L34" s="521"/>
      <c r="M34" s="521"/>
      <c r="N34" s="462"/>
      <c r="O34" s="401"/>
      <c r="P34" s="2"/>
      <c r="Q34" s="60"/>
      <c r="R34" s="60"/>
      <c r="S34" s="60"/>
      <c r="T34" s="60"/>
      <c r="U34" s="60"/>
      <c r="V34" s="60"/>
    </row>
    <row r="35" spans="1:22" ht="16.5" customHeight="1" x14ac:dyDescent="0.25">
      <c r="A35" s="1"/>
      <c r="B35" s="419"/>
      <c r="C35" s="419"/>
      <c r="D35" s="478" t="s">
        <v>468</v>
      </c>
      <c r="E35" s="478"/>
      <c r="F35" s="521"/>
      <c r="G35" s="521"/>
      <c r="H35" s="521"/>
      <c r="I35" s="521"/>
      <c r="J35" s="521"/>
      <c r="K35" s="521"/>
      <c r="L35" s="521"/>
      <c r="M35" s="521"/>
      <c r="N35" s="462"/>
      <c r="O35" s="401"/>
      <c r="P35" s="2"/>
      <c r="Q35" s="33"/>
      <c r="R35" s="60"/>
      <c r="S35" s="60"/>
      <c r="T35" s="60"/>
      <c r="U35" s="60"/>
      <c r="V35" s="60"/>
    </row>
    <row r="36" spans="1:22" ht="16.5" customHeight="1" thickBot="1" x14ac:dyDescent="0.25">
      <c r="A36" s="1"/>
      <c r="B36" s="896"/>
      <c r="C36" s="896"/>
      <c r="D36" s="897" t="s">
        <v>818</v>
      </c>
      <c r="E36" s="897"/>
      <c r="F36" s="898"/>
      <c r="G36" s="898"/>
      <c r="H36" s="898"/>
      <c r="I36" s="898"/>
      <c r="J36" s="898"/>
      <c r="K36" s="898"/>
      <c r="L36" s="898"/>
      <c r="M36" s="898"/>
      <c r="N36" s="898"/>
      <c r="O36" s="401"/>
      <c r="P36" s="2"/>
      <c r="Q36" s="602"/>
      <c r="R36" s="60"/>
      <c r="S36" s="60"/>
      <c r="T36" s="60"/>
      <c r="U36" s="60"/>
      <c r="V36" s="60"/>
    </row>
    <row r="37" spans="1:22" ht="16.5" customHeight="1" x14ac:dyDescent="0.2">
      <c r="A37" s="808"/>
      <c r="B37" s="502" t="s">
        <v>535</v>
      </c>
      <c r="C37" s="978"/>
      <c r="D37" s="906" t="s">
        <v>821</v>
      </c>
      <c r="E37" s="907" t="s">
        <v>820</v>
      </c>
      <c r="F37" s="908" t="s">
        <v>469</v>
      </c>
      <c r="G37" s="909"/>
      <c r="H37" s="909"/>
      <c r="I37" s="909"/>
      <c r="J37" s="909"/>
      <c r="K37" s="909"/>
      <c r="L37" s="909"/>
      <c r="M37" s="905"/>
      <c r="N37" s="910"/>
      <c r="O37" s="401"/>
      <c r="P37" s="2"/>
      <c r="Q37" s="33"/>
      <c r="R37" s="60"/>
      <c r="S37" s="60"/>
      <c r="T37" s="60"/>
      <c r="U37" s="60"/>
      <c r="V37" s="60"/>
    </row>
    <row r="38" spans="1:22" ht="66" customHeight="1" x14ac:dyDescent="0.2">
      <c r="A38" s="808"/>
      <c r="B38" s="1692" t="s">
        <v>1003</v>
      </c>
      <c r="C38" s="903"/>
      <c r="D38" s="1687">
        <f>БИ40</f>
        <v>33600</v>
      </c>
      <c r="E38" s="1688">
        <f>SUM(D38*1.25)</f>
        <v>42000</v>
      </c>
      <c r="F38" s="2050" t="s">
        <v>532</v>
      </c>
      <c r="G38" s="2048"/>
      <c r="H38" s="2048"/>
      <c r="I38" s="2048"/>
      <c r="J38" s="2048"/>
      <c r="K38" s="2048"/>
      <c r="L38" s="2048"/>
      <c r="M38" s="2048"/>
      <c r="N38" s="2049"/>
      <c r="O38" s="401"/>
      <c r="P38" s="2"/>
      <c r="Q38" s="33"/>
      <c r="R38" s="60"/>
      <c r="S38" s="60"/>
      <c r="T38" s="60"/>
      <c r="U38" s="60"/>
      <c r="V38" s="60"/>
    </row>
    <row r="39" spans="1:22" ht="78.75" customHeight="1" thickBot="1" x14ac:dyDescent="0.25">
      <c r="A39" s="808"/>
      <c r="B39" s="1691" t="s">
        <v>1004</v>
      </c>
      <c r="C39" s="508"/>
      <c r="D39" s="1685">
        <f>БИ42</f>
        <v>44800</v>
      </c>
      <c r="E39" s="1686">
        <f>SUM(D39*1.25)</f>
        <v>56000</v>
      </c>
      <c r="F39" s="2035" t="s">
        <v>1396</v>
      </c>
      <c r="G39" s="2057"/>
      <c r="H39" s="2057"/>
      <c r="I39" s="2057"/>
      <c r="J39" s="2057"/>
      <c r="K39" s="2057"/>
      <c r="L39" s="2057"/>
      <c r="M39" s="2057"/>
      <c r="N39" s="2058"/>
      <c r="O39" s="401"/>
      <c r="P39" s="2"/>
      <c r="Q39" s="33"/>
      <c r="R39" s="60"/>
      <c r="S39" s="60"/>
      <c r="T39" s="60"/>
      <c r="U39" s="60"/>
      <c r="V39" s="60"/>
    </row>
    <row r="40" spans="1:22" ht="16.5" customHeight="1" x14ac:dyDescent="0.2">
      <c r="A40" s="2"/>
      <c r="B40" s="966"/>
      <c r="C40" s="966"/>
      <c r="D40" s="967"/>
      <c r="E40" s="967"/>
      <c r="F40" s="968"/>
      <c r="G40" s="968"/>
      <c r="H40" s="968"/>
      <c r="I40" s="968"/>
      <c r="J40" s="968"/>
      <c r="K40" s="968"/>
      <c r="L40" s="968"/>
      <c r="M40" s="968"/>
      <c r="N40" s="968"/>
      <c r="O40" s="401"/>
      <c r="P40" s="2"/>
      <c r="Q40" s="33"/>
      <c r="R40" s="60"/>
      <c r="S40" s="60"/>
      <c r="T40" s="60"/>
      <c r="U40" s="60"/>
      <c r="V40" s="60"/>
    </row>
    <row r="41" spans="1:22" ht="16.5" customHeight="1" x14ac:dyDescent="0.2">
      <c r="A41" s="1"/>
      <c r="B41" s="393"/>
      <c r="C41" s="621"/>
      <c r="D41" s="642" t="s">
        <v>819</v>
      </c>
      <c r="E41" s="254"/>
      <c r="F41" s="463"/>
      <c r="G41" s="397"/>
      <c r="H41" s="397"/>
      <c r="I41" s="397"/>
      <c r="J41" s="397"/>
      <c r="K41" s="397"/>
      <c r="L41" s="397"/>
      <c r="M41" s="397"/>
      <c r="N41" s="397"/>
      <c r="O41" s="401"/>
      <c r="P41" s="2"/>
      <c r="Q41" s="33"/>
      <c r="R41" s="60"/>
      <c r="S41" s="60"/>
      <c r="T41" s="60"/>
      <c r="U41" s="60"/>
      <c r="V41" s="60"/>
    </row>
    <row r="42" spans="1:22" ht="30" customHeight="1" thickBot="1" x14ac:dyDescent="0.25">
      <c r="A42" s="2"/>
      <c r="B42" s="925" t="s">
        <v>460</v>
      </c>
      <c r="C42" s="926"/>
      <c r="D42" s="927"/>
      <c r="E42" s="927"/>
      <c r="F42" s="928"/>
      <c r="G42" s="929"/>
      <c r="H42" s="930" t="s">
        <v>976</v>
      </c>
      <c r="I42" s="929"/>
      <c r="J42" s="931"/>
      <c r="K42" s="931"/>
      <c r="L42" s="931"/>
      <c r="M42" s="931"/>
      <c r="N42" s="931"/>
      <c r="O42" s="401"/>
      <c r="P42" s="2"/>
      <c r="Q42" s="60"/>
      <c r="R42" s="60"/>
      <c r="S42" s="60"/>
      <c r="T42" s="60"/>
      <c r="U42" s="60"/>
      <c r="V42" s="60"/>
    </row>
    <row r="43" spans="1:22" ht="16.5" customHeight="1" x14ac:dyDescent="0.2">
      <c r="A43" s="808"/>
      <c r="B43" s="502" t="s">
        <v>535</v>
      </c>
      <c r="C43" s="905"/>
      <c r="D43" s="906" t="s">
        <v>821</v>
      </c>
      <c r="E43" s="907" t="s">
        <v>820</v>
      </c>
      <c r="F43" s="908" t="s">
        <v>276</v>
      </c>
      <c r="G43" s="909"/>
      <c r="H43" s="909"/>
      <c r="I43" s="909"/>
      <c r="J43" s="909"/>
      <c r="K43" s="909"/>
      <c r="L43" s="909"/>
      <c r="M43" s="905"/>
      <c r="N43" s="910"/>
      <c r="O43" s="401"/>
      <c r="P43" s="2"/>
      <c r="Q43" s="33"/>
      <c r="R43" s="60"/>
      <c r="S43" s="60"/>
      <c r="T43" s="60"/>
      <c r="U43" s="60"/>
      <c r="V43" s="60"/>
    </row>
    <row r="44" spans="1:22" ht="16.5" customHeight="1" x14ac:dyDescent="0.2">
      <c r="A44" s="808"/>
      <c r="B44" s="912" t="s">
        <v>34</v>
      </c>
      <c r="C44" s="360"/>
      <c r="D44" s="367"/>
      <c r="E44" s="367"/>
      <c r="F44" s="367"/>
      <c r="G44" s="361"/>
      <c r="H44" s="362"/>
      <c r="I44" s="368"/>
      <c r="J44" s="368"/>
      <c r="K44" s="369"/>
      <c r="L44" s="368"/>
      <c r="M44" s="368"/>
      <c r="N44" s="916"/>
      <c r="O44" s="401"/>
      <c r="P44" s="2"/>
      <c r="Q44" s="60"/>
      <c r="R44" s="60"/>
      <c r="S44" s="60"/>
      <c r="T44" s="60"/>
      <c r="U44" s="60"/>
      <c r="V44" s="60"/>
    </row>
    <row r="45" spans="1:22" ht="16.5" customHeight="1" x14ac:dyDescent="0.25">
      <c r="A45" s="808"/>
      <c r="B45" s="912"/>
      <c r="C45" s="360"/>
      <c r="D45" s="359" t="s">
        <v>995</v>
      </c>
      <c r="E45" s="359"/>
      <c r="F45" s="367"/>
      <c r="G45" s="361"/>
      <c r="H45" s="362"/>
      <c r="I45" s="368"/>
      <c r="J45" s="368"/>
      <c r="K45" s="369"/>
      <c r="L45" s="368"/>
      <c r="M45" s="368"/>
      <c r="N45" s="916"/>
      <c r="O45" s="401"/>
      <c r="P45" s="2"/>
      <c r="Q45" s="33"/>
      <c r="R45" s="60"/>
      <c r="S45" s="60"/>
      <c r="T45" s="60"/>
      <c r="U45" s="60"/>
      <c r="V45" s="60"/>
    </row>
    <row r="46" spans="1:22" ht="16.5" customHeight="1" x14ac:dyDescent="0.25">
      <c r="A46" s="808"/>
      <c r="B46" s="913"/>
      <c r="C46" s="359"/>
      <c r="D46" s="359"/>
      <c r="E46" s="359"/>
      <c r="F46" s="365"/>
      <c r="G46" s="366"/>
      <c r="H46" s="366"/>
      <c r="I46" s="364"/>
      <c r="J46" s="364"/>
      <c r="K46" s="358"/>
      <c r="L46" s="363"/>
      <c r="M46" s="364"/>
      <c r="N46" s="917"/>
      <c r="O46" s="401"/>
      <c r="P46" s="2"/>
      <c r="Q46" s="33"/>
      <c r="R46" s="60"/>
      <c r="S46" s="60"/>
      <c r="T46" s="60"/>
      <c r="U46" s="60"/>
      <c r="V46" s="60"/>
    </row>
    <row r="47" spans="1:22" ht="31.5" customHeight="1" x14ac:dyDescent="0.2">
      <c r="A47" s="808"/>
      <c r="B47" s="1699" t="s">
        <v>283</v>
      </c>
      <c r="C47" s="512"/>
      <c r="D47" s="1689">
        <f>Опц_ИБП_БИ</f>
        <v>14000</v>
      </c>
      <c r="E47" s="1690">
        <f>SUM(D47*1.25)</f>
        <v>17500</v>
      </c>
      <c r="F47" s="2047" t="s">
        <v>977</v>
      </c>
      <c r="G47" s="2048"/>
      <c r="H47" s="2048"/>
      <c r="I47" s="2048"/>
      <c r="J47" s="2048"/>
      <c r="K47" s="2048"/>
      <c r="L47" s="2048"/>
      <c r="M47" s="2048"/>
      <c r="N47" s="2049"/>
      <c r="O47" s="401"/>
      <c r="P47" s="2"/>
      <c r="Q47" s="60"/>
      <c r="R47" s="60"/>
      <c r="S47" s="60"/>
      <c r="T47" s="60"/>
      <c r="U47" s="60"/>
      <c r="V47" s="60"/>
    </row>
    <row r="48" spans="1:22" ht="31.5" customHeight="1" thickBot="1" x14ac:dyDescent="0.25">
      <c r="A48" s="808"/>
      <c r="B48" s="1698" t="s">
        <v>742</v>
      </c>
      <c r="C48" s="510"/>
      <c r="D48" s="1685" t="str">
        <f>Опц_нестандарт</f>
        <v>14000 /луч</v>
      </c>
      <c r="E48" s="1686" t="e">
        <f>SUM(D48*1.25)</f>
        <v>#VALUE!</v>
      </c>
      <c r="F48" s="2035" t="s">
        <v>1397</v>
      </c>
      <c r="G48" s="2036"/>
      <c r="H48" s="2036"/>
      <c r="I48" s="2036"/>
      <c r="J48" s="2036"/>
      <c r="K48" s="2036"/>
      <c r="L48" s="2036"/>
      <c r="M48" s="2036"/>
      <c r="N48" s="2037"/>
      <c r="O48" s="401"/>
      <c r="P48" s="2"/>
      <c r="Q48" s="60"/>
      <c r="R48" s="60"/>
      <c r="S48" s="60"/>
      <c r="T48" s="60"/>
      <c r="U48" s="60"/>
      <c r="V48" s="60"/>
    </row>
    <row r="49" spans="1:22" ht="15" customHeight="1" x14ac:dyDescent="0.2">
      <c r="A49" s="1"/>
      <c r="B49" s="393"/>
      <c r="C49" s="1110"/>
      <c r="D49" s="1111"/>
      <c r="E49" s="1112"/>
      <c r="F49" s="1113"/>
      <c r="G49" s="1114"/>
      <c r="H49" s="1114"/>
      <c r="I49" s="1114"/>
      <c r="J49" s="1114"/>
      <c r="K49" s="1114"/>
      <c r="L49" s="1114"/>
      <c r="M49" s="1114"/>
      <c r="N49" s="1114"/>
      <c r="O49" s="401"/>
      <c r="P49" s="2"/>
      <c r="Q49" s="602"/>
      <c r="R49" s="60"/>
      <c r="S49" s="60"/>
      <c r="T49" s="60"/>
      <c r="U49" s="60"/>
      <c r="V49" s="60"/>
    </row>
    <row r="50" spans="1:22" ht="15" customHeight="1" x14ac:dyDescent="0.2">
      <c r="A50" s="1"/>
      <c r="B50" s="419"/>
      <c r="D50" s="457"/>
      <c r="E50" s="457"/>
      <c r="F50" s="459"/>
      <c r="G50" s="459"/>
      <c r="H50" s="459"/>
      <c r="J50" s="459"/>
      <c r="K50" s="459"/>
      <c r="L50" s="459"/>
      <c r="M50" s="462"/>
      <c r="N50" s="462"/>
      <c r="O50" s="401"/>
      <c r="P50" s="2"/>
      <c r="Q50" s="33"/>
      <c r="R50" s="60"/>
      <c r="S50" s="60"/>
      <c r="T50" s="60"/>
      <c r="U50" s="60"/>
      <c r="V50" s="60"/>
    </row>
    <row r="51" spans="1:22" ht="15" customHeight="1" x14ac:dyDescent="0.2">
      <c r="A51" s="1"/>
      <c r="B51" s="419"/>
      <c r="C51" s="419"/>
      <c r="D51" s="520"/>
      <c r="E51" s="520"/>
      <c r="F51" s="521"/>
      <c r="G51" s="521"/>
      <c r="H51" s="521"/>
      <c r="I51" s="521"/>
      <c r="J51" s="521"/>
      <c r="K51" s="521"/>
      <c r="L51" s="521"/>
      <c r="M51" s="521"/>
      <c r="N51" s="462"/>
      <c r="O51" s="401"/>
      <c r="P51" s="2"/>
      <c r="Q51" s="60"/>
      <c r="R51" s="60"/>
      <c r="S51" s="60"/>
      <c r="T51" s="60"/>
      <c r="U51" s="60"/>
      <c r="V51" s="60"/>
    </row>
    <row r="52" spans="1:22" ht="15" customHeight="1" x14ac:dyDescent="0.25">
      <c r="A52" s="1"/>
      <c r="B52" s="419"/>
      <c r="C52" s="419"/>
      <c r="D52" s="478" t="s">
        <v>1326</v>
      </c>
      <c r="E52" s="478"/>
      <c r="F52" s="521"/>
      <c r="G52" s="521"/>
      <c r="H52" s="521"/>
      <c r="I52" s="521"/>
      <c r="J52" s="521"/>
      <c r="K52" s="521"/>
      <c r="L52" s="521"/>
      <c r="M52" s="521"/>
      <c r="N52" s="462"/>
      <c r="O52" s="401"/>
      <c r="P52" s="2"/>
      <c r="Q52" s="33"/>
      <c r="R52" s="60"/>
      <c r="S52" s="60"/>
      <c r="T52" s="60"/>
      <c r="U52" s="60"/>
      <c r="V52" s="60"/>
    </row>
    <row r="53" spans="1:22" ht="15" customHeight="1" thickBot="1" x14ac:dyDescent="0.25">
      <c r="A53" s="1"/>
      <c r="B53" s="896"/>
      <c r="C53" s="896"/>
      <c r="D53" s="897" t="s">
        <v>818</v>
      </c>
      <c r="E53" s="897"/>
      <c r="F53" s="898"/>
      <c r="G53" s="898"/>
      <c r="H53" s="898"/>
      <c r="I53" s="898"/>
      <c r="J53" s="898"/>
      <c r="K53" s="898"/>
      <c r="L53" s="898"/>
      <c r="M53" s="898"/>
      <c r="N53" s="898"/>
      <c r="O53" s="401"/>
      <c r="P53" s="2"/>
      <c r="Q53" s="33"/>
      <c r="R53" s="60"/>
      <c r="S53" s="60"/>
      <c r="T53" s="60"/>
      <c r="U53" s="60"/>
      <c r="V53" s="60"/>
    </row>
    <row r="54" spans="1:22" ht="16.5" customHeight="1" x14ac:dyDescent="0.2">
      <c r="A54" s="808"/>
      <c r="B54" s="911" t="s">
        <v>535</v>
      </c>
      <c r="C54" s="905"/>
      <c r="D54" s="906" t="s">
        <v>821</v>
      </c>
      <c r="E54" s="907" t="s">
        <v>820</v>
      </c>
      <c r="F54" s="908" t="s">
        <v>276</v>
      </c>
      <c r="G54" s="909"/>
      <c r="H54" s="909"/>
      <c r="I54" s="909"/>
      <c r="J54" s="909"/>
      <c r="K54" s="909"/>
      <c r="L54" s="909"/>
      <c r="M54" s="905"/>
      <c r="N54" s="910"/>
      <c r="O54" s="467"/>
      <c r="P54" s="2"/>
      <c r="Q54" s="33"/>
      <c r="R54" s="60"/>
      <c r="S54" s="60"/>
      <c r="T54" s="60"/>
      <c r="U54" s="60"/>
      <c r="V54" s="60"/>
    </row>
    <row r="55" spans="1:22" ht="39.75" customHeight="1" thickBot="1" x14ac:dyDescent="0.25">
      <c r="A55" s="808"/>
      <c r="B55" s="2044" t="s">
        <v>1327</v>
      </c>
      <c r="C55" s="2046"/>
      <c r="D55" s="1693">
        <v>3920</v>
      </c>
      <c r="E55" s="1694">
        <f>SUM(D55*1.25)</f>
        <v>4900</v>
      </c>
      <c r="F55" s="2026" t="s">
        <v>685</v>
      </c>
      <c r="G55" s="2038"/>
      <c r="H55" s="2038"/>
      <c r="I55" s="2038"/>
      <c r="J55" s="2038"/>
      <c r="K55" s="2038"/>
      <c r="L55" s="2038"/>
      <c r="M55" s="2038"/>
      <c r="N55" s="2039"/>
      <c r="O55" s="467"/>
      <c r="P55" s="2"/>
      <c r="Q55" s="60"/>
      <c r="R55" s="60"/>
      <c r="S55" s="60"/>
      <c r="T55" s="60"/>
      <c r="U55" s="60"/>
      <c r="V55" s="60"/>
    </row>
    <row r="56" spans="1:22" ht="15" customHeight="1" x14ac:dyDescent="0.2">
      <c r="A56" s="2"/>
      <c r="B56" s="393"/>
      <c r="C56" s="274"/>
      <c r="D56" s="3"/>
      <c r="F56" s="463"/>
      <c r="G56" s="397"/>
      <c r="H56" s="397"/>
      <c r="I56" s="397"/>
      <c r="J56" s="397"/>
      <c r="K56" s="397"/>
      <c r="L56" s="397"/>
      <c r="M56" s="397"/>
      <c r="N56" s="397"/>
      <c r="O56" s="467"/>
      <c r="P56" s="2"/>
      <c r="Q56" s="602"/>
      <c r="R56" s="60"/>
      <c r="S56" s="60"/>
      <c r="T56" s="60"/>
      <c r="U56" s="60"/>
      <c r="V56" s="60"/>
    </row>
    <row r="57" spans="1:22" ht="15" customHeight="1" x14ac:dyDescent="0.2">
      <c r="A57" s="2"/>
      <c r="B57" s="419"/>
      <c r="C57" s="419"/>
      <c r="D57" s="457"/>
      <c r="E57" s="457"/>
      <c r="F57" s="459"/>
      <c r="H57" s="459"/>
      <c r="I57" s="459"/>
      <c r="J57" s="459"/>
      <c r="K57" s="459"/>
      <c r="L57" s="459"/>
      <c r="M57" s="462"/>
      <c r="N57" s="462"/>
      <c r="O57" s="467"/>
      <c r="P57" s="2"/>
      <c r="Q57" s="33"/>
      <c r="R57" s="60"/>
      <c r="S57" s="60"/>
      <c r="T57" s="60"/>
      <c r="U57" s="60"/>
      <c r="V57" s="60"/>
    </row>
    <row r="58" spans="1:22" ht="15" customHeight="1" x14ac:dyDescent="0.2">
      <c r="A58" s="1"/>
      <c r="B58" s="419"/>
      <c r="C58" s="419"/>
      <c r="D58" s="520"/>
      <c r="E58" s="520"/>
      <c r="F58" s="521"/>
      <c r="G58" s="521"/>
      <c r="H58" s="521"/>
      <c r="I58" s="521"/>
      <c r="J58" s="521"/>
      <c r="K58" s="521"/>
      <c r="L58" s="521"/>
      <c r="M58" s="521"/>
      <c r="N58" s="462"/>
      <c r="O58" s="467"/>
      <c r="P58" s="2"/>
      <c r="Q58" s="33"/>
      <c r="R58" s="60"/>
      <c r="S58" s="60"/>
      <c r="T58" s="60"/>
      <c r="U58" s="60"/>
      <c r="V58" s="60"/>
    </row>
    <row r="59" spans="1:22" ht="15" customHeight="1" x14ac:dyDescent="0.25">
      <c r="A59" s="1"/>
      <c r="B59" s="419"/>
      <c r="C59" s="419"/>
      <c r="D59" s="478" t="s">
        <v>1216</v>
      </c>
      <c r="E59" s="478"/>
      <c r="F59" s="521"/>
      <c r="G59" s="521"/>
      <c r="H59" s="521"/>
      <c r="I59" s="521"/>
      <c r="J59" s="521"/>
      <c r="K59" s="521"/>
      <c r="L59" s="521"/>
      <c r="M59" s="521"/>
      <c r="N59" s="462"/>
      <c r="O59" s="467"/>
      <c r="P59" s="2"/>
      <c r="Q59" s="33"/>
      <c r="R59" s="60"/>
      <c r="S59" s="60"/>
      <c r="T59" s="60"/>
      <c r="U59" s="60"/>
      <c r="V59" s="60"/>
    </row>
    <row r="60" spans="1:22" ht="15" customHeight="1" thickBot="1" x14ac:dyDescent="0.25">
      <c r="A60" s="1"/>
      <c r="B60" s="419"/>
      <c r="C60" s="419"/>
      <c r="D60" s="642" t="s">
        <v>818</v>
      </c>
      <c r="E60" s="642"/>
      <c r="F60" s="462"/>
      <c r="G60" s="462"/>
      <c r="H60" s="462"/>
      <c r="I60" s="462"/>
      <c r="J60" s="462"/>
      <c r="K60" s="462"/>
      <c r="L60" s="462"/>
      <c r="M60" s="462"/>
      <c r="N60" s="462"/>
      <c r="O60" s="467"/>
      <c r="P60" s="2"/>
      <c r="Q60" s="33"/>
      <c r="R60" s="60"/>
      <c r="S60" s="60"/>
      <c r="T60" s="60"/>
      <c r="U60" s="60"/>
      <c r="V60" s="60"/>
    </row>
    <row r="61" spans="1:22" ht="16.5" customHeight="1" x14ac:dyDescent="0.2">
      <c r="A61" s="808"/>
      <c r="B61" s="911" t="s">
        <v>535</v>
      </c>
      <c r="C61" s="905"/>
      <c r="D61" s="906" t="s">
        <v>821</v>
      </c>
      <c r="E61" s="907" t="s">
        <v>820</v>
      </c>
      <c r="F61" s="908" t="s">
        <v>276</v>
      </c>
      <c r="G61" s="909"/>
      <c r="H61" s="909"/>
      <c r="I61" s="909"/>
      <c r="J61" s="909"/>
      <c r="K61" s="909"/>
      <c r="L61" s="909"/>
      <c r="M61" s="905"/>
      <c r="N61" s="910"/>
      <c r="O61" s="467"/>
      <c r="P61" s="2"/>
      <c r="Q61" s="60"/>
      <c r="R61" s="60"/>
      <c r="S61" s="60"/>
      <c r="T61" s="60"/>
      <c r="U61" s="60"/>
      <c r="V61" s="60"/>
    </row>
    <row r="62" spans="1:22" ht="33.75" customHeight="1" x14ac:dyDescent="0.2">
      <c r="A62" s="808"/>
      <c r="B62" s="2055" t="s">
        <v>1328</v>
      </c>
      <c r="C62" s="2056"/>
      <c r="D62" s="1695">
        <f>УФ1_БИ</f>
        <v>11200</v>
      </c>
      <c r="E62" s="1695">
        <f>SUM(D62*1.25)</f>
        <v>14000</v>
      </c>
      <c r="F62" s="2040" t="s">
        <v>1117</v>
      </c>
      <c r="G62" s="2041"/>
      <c r="H62" s="2041"/>
      <c r="I62" s="2041"/>
      <c r="J62" s="2041"/>
      <c r="K62" s="2041"/>
      <c r="L62" s="2041"/>
      <c r="M62" s="2041"/>
      <c r="N62" s="2042"/>
      <c r="O62" s="467"/>
      <c r="P62" s="2"/>
      <c r="Q62" s="602"/>
      <c r="R62" s="60"/>
      <c r="S62" s="60"/>
      <c r="T62" s="60"/>
      <c r="U62" s="60"/>
      <c r="V62" s="60"/>
    </row>
    <row r="63" spans="1:22" ht="33" customHeight="1" x14ac:dyDescent="0.2">
      <c r="A63" s="808"/>
      <c r="B63" s="2023" t="s">
        <v>1329</v>
      </c>
      <c r="C63" s="2054"/>
      <c r="D63" s="1696">
        <f>УФ2_БИ</f>
        <v>17920</v>
      </c>
      <c r="E63" s="1696">
        <f>SUM(D63*1.25)</f>
        <v>22400</v>
      </c>
      <c r="F63" s="2030" t="s">
        <v>1118</v>
      </c>
      <c r="G63" s="1874"/>
      <c r="H63" s="1874"/>
      <c r="I63" s="1874"/>
      <c r="J63" s="1874"/>
      <c r="K63" s="1874"/>
      <c r="L63" s="1874"/>
      <c r="M63" s="1874"/>
      <c r="N63" s="1875"/>
      <c r="O63" s="467"/>
      <c r="P63" s="2"/>
      <c r="Q63" s="602"/>
      <c r="R63" s="60"/>
      <c r="S63" s="60"/>
      <c r="T63" s="60"/>
      <c r="U63" s="60"/>
      <c r="V63" s="60"/>
    </row>
    <row r="64" spans="1:22" ht="32.25" customHeight="1" thickBot="1" x14ac:dyDescent="0.25">
      <c r="A64" s="808"/>
      <c r="B64" s="2044" t="s">
        <v>1330</v>
      </c>
      <c r="C64" s="2045"/>
      <c r="D64" s="1697">
        <f>КУФ_БИ</f>
        <v>3360</v>
      </c>
      <c r="E64" s="1697">
        <f>SUM(D64*1.25)</f>
        <v>4200</v>
      </c>
      <c r="F64" s="2051" t="s">
        <v>309</v>
      </c>
      <c r="G64" s="2052"/>
      <c r="H64" s="2052"/>
      <c r="I64" s="2052"/>
      <c r="J64" s="2052"/>
      <c r="K64" s="2052"/>
      <c r="L64" s="2052"/>
      <c r="M64" s="2052"/>
      <c r="N64" s="2053"/>
      <c r="O64" s="467"/>
      <c r="P64" s="2"/>
      <c r="Q64" s="602"/>
      <c r="R64" s="60"/>
      <c r="S64" s="60"/>
      <c r="T64" s="60"/>
      <c r="U64" s="60"/>
      <c r="V64" s="60"/>
    </row>
    <row r="65" spans="1:22" ht="15" customHeight="1" x14ac:dyDescent="0.2">
      <c r="A65" s="2"/>
      <c r="B65" s="393"/>
      <c r="C65" s="274"/>
      <c r="D65" s="254"/>
      <c r="E65" s="254"/>
      <c r="F65" s="463"/>
      <c r="G65" s="397"/>
      <c r="H65" s="397"/>
      <c r="I65" s="397"/>
      <c r="J65" s="397"/>
      <c r="K65" s="397"/>
      <c r="L65" s="397"/>
      <c r="M65" s="397"/>
      <c r="N65" s="397"/>
      <c r="O65" s="467"/>
      <c r="P65" s="2"/>
      <c r="Q65" s="33"/>
      <c r="R65" s="60"/>
      <c r="S65" s="60"/>
      <c r="T65" s="60"/>
      <c r="U65" s="60"/>
      <c r="V65" s="60"/>
    </row>
    <row r="66" spans="1:22" ht="15" customHeight="1" x14ac:dyDescent="0.2">
      <c r="A66" s="2"/>
      <c r="B66" s="468"/>
      <c r="C66" s="274"/>
      <c r="D66" s="389"/>
      <c r="E66" s="389"/>
      <c r="F66" s="390"/>
      <c r="G66" s="230"/>
      <c r="H66" s="230"/>
      <c r="I66" s="230"/>
      <c r="J66" s="219"/>
      <c r="K66" s="219"/>
      <c r="L66" s="219"/>
      <c r="M66" s="461"/>
      <c r="N66" s="219"/>
      <c r="O66" s="467"/>
      <c r="P66" s="2"/>
      <c r="Q66" s="33"/>
      <c r="R66" s="60"/>
      <c r="S66" s="60"/>
      <c r="T66" s="60"/>
      <c r="U66" s="60"/>
      <c r="V66" s="60"/>
    </row>
    <row r="67" spans="1:22" ht="30" customHeight="1" thickBot="1" x14ac:dyDescent="0.25">
      <c r="A67" s="2"/>
      <c r="B67" s="925" t="s">
        <v>1157</v>
      </c>
      <c r="C67" s="926"/>
      <c r="D67" s="927"/>
      <c r="E67" s="927"/>
      <c r="F67" s="928"/>
      <c r="G67" s="929"/>
      <c r="H67" s="929" t="s">
        <v>1127</v>
      </c>
      <c r="I67" s="929"/>
      <c r="J67" s="931"/>
      <c r="K67" s="931"/>
      <c r="L67" s="931"/>
      <c r="M67" s="931"/>
      <c r="N67" s="931"/>
      <c r="O67" s="467"/>
      <c r="P67" s="2"/>
      <c r="Q67" s="60"/>
      <c r="R67" s="60"/>
      <c r="S67" s="60"/>
      <c r="T67" s="60"/>
      <c r="U67" s="60"/>
      <c r="V67" s="60"/>
    </row>
    <row r="68" spans="1:22" ht="16.5" customHeight="1" x14ac:dyDescent="0.2">
      <c r="A68" s="808"/>
      <c r="B68" s="911" t="s">
        <v>535</v>
      </c>
      <c r="C68" s="905" t="s">
        <v>695</v>
      </c>
      <c r="D68" s="905"/>
      <c r="E68" s="905"/>
      <c r="F68" s="908" t="s">
        <v>276</v>
      </c>
      <c r="G68" s="977"/>
      <c r="H68" s="909"/>
      <c r="I68" s="909"/>
      <c r="J68" s="909"/>
      <c r="K68" s="909"/>
      <c r="L68" s="909"/>
      <c r="M68" s="905"/>
      <c r="N68" s="910"/>
      <c r="O68" s="467"/>
      <c r="P68" s="2"/>
      <c r="Q68" s="33"/>
      <c r="R68" s="60"/>
      <c r="S68" s="60"/>
      <c r="T68" s="60"/>
      <c r="U68" s="60"/>
      <c r="V68" s="60"/>
    </row>
    <row r="69" spans="1:22" ht="16.5" customHeight="1" x14ac:dyDescent="0.2">
      <c r="A69" s="808"/>
      <c r="B69" s="912" t="s">
        <v>817</v>
      </c>
      <c r="C69" s="360"/>
      <c r="D69" s="367"/>
      <c r="E69" s="367"/>
      <c r="F69" s="367"/>
      <c r="G69" s="361"/>
      <c r="H69" s="362"/>
      <c r="I69" s="368"/>
      <c r="J69" s="368"/>
      <c r="K69" s="369"/>
      <c r="L69" s="368"/>
      <c r="M69" s="368"/>
      <c r="N69" s="916"/>
      <c r="O69" s="467"/>
      <c r="P69" s="2"/>
      <c r="Q69" s="33"/>
      <c r="R69" s="60"/>
      <c r="S69" s="60"/>
      <c r="T69" s="60"/>
      <c r="U69" s="60"/>
      <c r="V69" s="60"/>
    </row>
    <row r="70" spans="1:22" ht="16.5" customHeight="1" x14ac:dyDescent="0.25">
      <c r="A70" s="808"/>
      <c r="B70" s="913"/>
      <c r="C70" s="359"/>
      <c r="D70" s="470" t="s">
        <v>551</v>
      </c>
      <c r="E70" s="470"/>
      <c r="F70" s="365"/>
      <c r="G70" s="366"/>
      <c r="H70" s="366"/>
      <c r="I70" s="364"/>
      <c r="J70" s="364"/>
      <c r="K70" s="358"/>
      <c r="L70" s="363"/>
      <c r="M70" s="364"/>
      <c r="N70" s="917"/>
      <c r="O70" s="467"/>
      <c r="P70" s="2"/>
      <c r="Q70" s="33"/>
      <c r="R70" s="60"/>
      <c r="S70" s="60"/>
      <c r="T70" s="60"/>
      <c r="U70" s="60"/>
      <c r="V70" s="60"/>
    </row>
    <row r="71" spans="1:22" ht="16.5" customHeight="1" x14ac:dyDescent="0.25">
      <c r="A71" s="808"/>
      <c r="B71" s="913"/>
      <c r="C71" s="359"/>
      <c r="D71" s="470"/>
      <c r="E71" s="470"/>
      <c r="F71" s="365"/>
      <c r="G71" s="365"/>
      <c r="H71" s="365"/>
      <c r="I71" s="363"/>
      <c r="J71" s="363"/>
      <c r="K71" s="390"/>
      <c r="L71" s="363"/>
      <c r="M71" s="363"/>
      <c r="N71" s="917"/>
      <c r="O71" s="467"/>
      <c r="P71" s="2"/>
      <c r="Q71" s="33"/>
      <c r="R71" s="60"/>
      <c r="S71" s="60"/>
      <c r="T71" s="60"/>
      <c r="U71" s="60"/>
      <c r="V71" s="60"/>
    </row>
    <row r="72" spans="1:22" ht="16.5" customHeight="1" thickBot="1" x14ac:dyDescent="0.25">
      <c r="A72" s="808"/>
      <c r="B72" s="2016" t="s">
        <v>160</v>
      </c>
      <c r="C72" s="2027"/>
      <c r="D72" s="711">
        <f>Конверт_USB</f>
        <v>14400</v>
      </c>
      <c r="E72" s="707"/>
      <c r="F72" s="2019" t="s">
        <v>967</v>
      </c>
      <c r="G72" s="1912"/>
      <c r="H72" s="1912"/>
      <c r="I72" s="1912"/>
      <c r="J72" s="1912"/>
      <c r="K72" s="1912"/>
      <c r="L72" s="1912"/>
      <c r="M72" s="1912"/>
      <c r="N72" s="1913"/>
      <c r="O72" s="467"/>
      <c r="P72" s="2"/>
      <c r="Q72" s="33"/>
      <c r="R72" s="60"/>
      <c r="S72" s="60"/>
      <c r="T72" s="60"/>
      <c r="U72" s="60"/>
      <c r="V72" s="60"/>
    </row>
    <row r="73" spans="1:22" ht="16.5" customHeight="1" x14ac:dyDescent="0.2">
      <c r="A73" s="808"/>
      <c r="B73" s="2023" t="s">
        <v>471</v>
      </c>
      <c r="C73" s="2034"/>
      <c r="D73" s="705">
        <f>Конверт_Ethernet</f>
        <v>21600</v>
      </c>
      <c r="E73" s="716"/>
      <c r="F73" s="1903" t="s">
        <v>1102</v>
      </c>
      <c r="G73" s="1846"/>
      <c r="H73" s="1846"/>
      <c r="I73" s="1846"/>
      <c r="J73" s="1846"/>
      <c r="K73" s="1846"/>
      <c r="L73" s="1846"/>
      <c r="M73" s="1846"/>
      <c r="N73" s="1902"/>
      <c r="O73" s="467"/>
      <c r="P73" s="2"/>
      <c r="Q73" s="60"/>
      <c r="R73" s="60"/>
      <c r="S73" s="60"/>
      <c r="T73" s="60"/>
      <c r="U73" s="60"/>
      <c r="V73" s="60"/>
    </row>
    <row r="74" spans="1:22" ht="16.5" customHeight="1" x14ac:dyDescent="0.2">
      <c r="A74" s="808"/>
      <c r="B74" s="2014" t="s">
        <v>552</v>
      </c>
      <c r="C74" s="2025"/>
      <c r="D74" s="712">
        <f>Конверт_RS232</f>
        <v>10800</v>
      </c>
      <c r="E74" s="717"/>
      <c r="F74" s="2020" t="s">
        <v>968</v>
      </c>
      <c r="G74" s="1846"/>
      <c r="H74" s="1846"/>
      <c r="I74" s="1846"/>
      <c r="J74" s="1846"/>
      <c r="K74" s="1846"/>
      <c r="L74" s="1846"/>
      <c r="M74" s="1846"/>
      <c r="N74" s="1902"/>
      <c r="O74" s="467"/>
      <c r="P74" s="2"/>
      <c r="Q74" s="602"/>
      <c r="R74" s="60"/>
      <c r="S74" s="60"/>
      <c r="T74" s="60"/>
      <c r="U74" s="60"/>
      <c r="V74" s="60"/>
    </row>
    <row r="75" spans="1:22" ht="16.5" customHeight="1" x14ac:dyDescent="0.2">
      <c r="A75" s="808"/>
      <c r="B75" s="2023" t="s">
        <v>687</v>
      </c>
      <c r="C75" s="2024"/>
      <c r="D75" s="705">
        <f>Репит_RS485</f>
        <v>21600</v>
      </c>
      <c r="E75" s="706"/>
      <c r="F75" s="2021" t="s">
        <v>502</v>
      </c>
      <c r="G75" s="1846"/>
      <c r="H75" s="1846"/>
      <c r="I75" s="1846"/>
      <c r="J75" s="1846"/>
      <c r="K75" s="1846"/>
      <c r="L75" s="1846"/>
      <c r="M75" s="1846"/>
      <c r="N75" s="1902"/>
      <c r="O75" s="467"/>
      <c r="P75" s="2"/>
      <c r="Q75" s="33"/>
      <c r="R75" s="60"/>
      <c r="S75" s="60"/>
      <c r="T75" s="60"/>
      <c r="U75" s="60"/>
      <c r="V75" s="60"/>
    </row>
    <row r="76" spans="1:22" ht="31.5" customHeight="1" x14ac:dyDescent="0.2">
      <c r="A76" s="808"/>
      <c r="B76" s="2014" t="s">
        <v>715</v>
      </c>
      <c r="C76" s="2025"/>
      <c r="D76" s="712">
        <f>Нетбук</f>
        <v>42000</v>
      </c>
      <c r="E76" s="713"/>
      <c r="F76" s="2020" t="s">
        <v>856</v>
      </c>
      <c r="G76" s="1846"/>
      <c r="H76" s="1846"/>
      <c r="I76" s="1846"/>
      <c r="J76" s="1846"/>
      <c r="K76" s="1846"/>
      <c r="L76" s="1846"/>
      <c r="M76" s="1846"/>
      <c r="N76" s="1902"/>
      <c r="O76" s="467"/>
      <c r="P76" s="2"/>
      <c r="Q76" s="33"/>
      <c r="R76" s="60"/>
      <c r="S76" s="60"/>
      <c r="T76" s="60"/>
      <c r="U76" s="60"/>
      <c r="V76" s="60"/>
    </row>
    <row r="77" spans="1:22" ht="16.5" customHeight="1" x14ac:dyDescent="0.2">
      <c r="A77" s="808"/>
      <c r="B77" s="912" t="s">
        <v>85</v>
      </c>
      <c r="C77" s="360"/>
      <c r="D77" s="367"/>
      <c r="E77" s="367"/>
      <c r="F77" s="367"/>
      <c r="G77" s="361"/>
      <c r="H77" s="362"/>
      <c r="I77" s="368"/>
      <c r="J77" s="368"/>
      <c r="K77" s="369"/>
      <c r="L77" s="368"/>
      <c r="M77" s="368"/>
      <c r="N77" s="916"/>
      <c r="O77" s="467"/>
      <c r="P77" s="2"/>
      <c r="Q77" s="33"/>
      <c r="R77" s="60"/>
      <c r="S77" s="60"/>
      <c r="T77" s="60"/>
      <c r="U77" s="60"/>
      <c r="V77" s="60"/>
    </row>
    <row r="78" spans="1:22" ht="16.5" customHeight="1" x14ac:dyDescent="0.25">
      <c r="A78" s="808"/>
      <c r="B78" s="913"/>
      <c r="C78" s="359"/>
      <c r="D78" s="470" t="s">
        <v>321</v>
      </c>
      <c r="E78" s="470"/>
      <c r="F78" s="365"/>
      <c r="G78" s="366"/>
      <c r="H78" s="366"/>
      <c r="I78" s="364"/>
      <c r="J78" s="364"/>
      <c r="K78" s="358"/>
      <c r="L78" s="363"/>
      <c r="M78" s="364"/>
      <c r="N78" s="917"/>
      <c r="O78" s="467"/>
      <c r="P78" s="2"/>
      <c r="Q78" s="60"/>
      <c r="R78" s="60"/>
      <c r="S78" s="60"/>
      <c r="T78" s="60"/>
      <c r="U78" s="60"/>
      <c r="V78" s="60"/>
    </row>
    <row r="79" spans="1:22" ht="16.5" customHeight="1" x14ac:dyDescent="0.25">
      <c r="A79" s="808"/>
      <c r="B79" s="913"/>
      <c r="C79" s="359"/>
      <c r="D79" s="470"/>
      <c r="E79" s="470"/>
      <c r="F79" s="365"/>
      <c r="G79" s="365"/>
      <c r="H79" s="365"/>
      <c r="I79" s="363"/>
      <c r="J79" s="363"/>
      <c r="K79" s="390"/>
      <c r="L79" s="363"/>
      <c r="M79" s="363"/>
      <c r="N79" s="917"/>
      <c r="O79" s="467"/>
      <c r="P79" s="2"/>
      <c r="Q79" s="33"/>
      <c r="R79" s="60"/>
      <c r="S79" s="60"/>
      <c r="T79" s="60"/>
      <c r="U79" s="60"/>
      <c r="V79" s="60"/>
    </row>
    <row r="80" spans="1:22" ht="25.5" customHeight="1" x14ac:dyDescent="0.2">
      <c r="A80" s="808"/>
      <c r="B80" s="2014" t="s">
        <v>1099</v>
      </c>
      <c r="C80" s="2025"/>
      <c r="D80" s="712">
        <f>Модем_RS485</f>
        <v>10800</v>
      </c>
      <c r="E80" s="713"/>
      <c r="F80" s="2020" t="s">
        <v>25</v>
      </c>
      <c r="G80" s="1846"/>
      <c r="H80" s="1846"/>
      <c r="I80" s="1846"/>
      <c r="J80" s="1846"/>
      <c r="K80" s="1846"/>
      <c r="L80" s="1846"/>
      <c r="M80" s="1846"/>
      <c r="N80" s="1902"/>
      <c r="O80" s="467"/>
      <c r="P80" s="2"/>
      <c r="Q80" s="60"/>
      <c r="R80" s="60"/>
      <c r="S80" s="60"/>
      <c r="T80" s="60"/>
      <c r="U80" s="60"/>
      <c r="V80" s="60"/>
    </row>
    <row r="81" spans="1:22" ht="22.5" customHeight="1" x14ac:dyDescent="0.2">
      <c r="A81" s="808"/>
      <c r="B81" s="2023" t="s">
        <v>686</v>
      </c>
      <c r="C81" s="2024"/>
      <c r="D81" s="705">
        <f>Модем_USB</f>
        <v>10800</v>
      </c>
      <c r="E81" s="714"/>
      <c r="F81" s="2021" t="s">
        <v>322</v>
      </c>
      <c r="G81" s="1846"/>
      <c r="H81" s="1846"/>
      <c r="I81" s="1846"/>
      <c r="J81" s="1846"/>
      <c r="K81" s="1846"/>
      <c r="L81" s="1846"/>
      <c r="M81" s="1846"/>
      <c r="N81" s="1902"/>
      <c r="O81" s="467"/>
      <c r="P81" s="2"/>
      <c r="Q81" s="602"/>
      <c r="R81" s="60"/>
      <c r="S81" s="60"/>
      <c r="T81" s="60"/>
      <c r="U81" s="60"/>
      <c r="V81" s="60"/>
    </row>
    <row r="82" spans="1:22" ht="27" customHeight="1" thickBot="1" x14ac:dyDescent="0.25">
      <c r="A82" s="808"/>
      <c r="B82" s="2016" t="s">
        <v>1225</v>
      </c>
      <c r="C82" s="2027"/>
      <c r="D82" s="711">
        <f>GPRS_терм</f>
        <v>25200</v>
      </c>
      <c r="E82" s="707"/>
      <c r="F82" s="2019" t="s">
        <v>1227</v>
      </c>
      <c r="G82" s="1891"/>
      <c r="H82" s="1891"/>
      <c r="I82" s="1891"/>
      <c r="J82" s="1891"/>
      <c r="K82" s="1891"/>
      <c r="L82" s="1891"/>
      <c r="M82" s="1891"/>
      <c r="N82" s="1892"/>
      <c r="O82" s="467"/>
      <c r="P82" s="2"/>
      <c r="Q82" s="33"/>
      <c r="R82" s="60"/>
      <c r="S82" s="60"/>
      <c r="T82" s="60"/>
      <c r="U82" s="60"/>
      <c r="V82" s="60"/>
    </row>
    <row r="83" spans="1:22" ht="16.5" customHeight="1" x14ac:dyDescent="0.2">
      <c r="A83" s="808"/>
      <c r="B83" s="912" t="s">
        <v>212</v>
      </c>
      <c r="C83" s="360"/>
      <c r="D83" s="367"/>
      <c r="E83" s="367"/>
      <c r="F83" s="367"/>
      <c r="G83" s="361"/>
      <c r="H83" s="362"/>
      <c r="I83" s="368"/>
      <c r="J83" s="368"/>
      <c r="K83" s="369"/>
      <c r="L83" s="368"/>
      <c r="M83" s="368"/>
      <c r="N83" s="916"/>
      <c r="O83" s="467"/>
      <c r="P83" s="2"/>
      <c r="Q83" s="33"/>
      <c r="R83" s="60"/>
      <c r="S83" s="60"/>
      <c r="T83" s="60"/>
      <c r="U83" s="60"/>
      <c r="V83" s="60"/>
    </row>
    <row r="84" spans="1:22" ht="16.5" customHeight="1" x14ac:dyDescent="0.25">
      <c r="A84" s="808"/>
      <c r="B84" s="913"/>
      <c r="C84" s="359"/>
      <c r="D84" s="470" t="s">
        <v>33</v>
      </c>
      <c r="E84" s="470"/>
      <c r="F84" s="365"/>
      <c r="G84" s="366"/>
      <c r="H84" s="366"/>
      <c r="I84" s="364"/>
      <c r="J84" s="364"/>
      <c r="K84" s="358"/>
      <c r="L84" s="363"/>
      <c r="M84" s="364"/>
      <c r="N84" s="917"/>
      <c r="O84" s="467"/>
      <c r="P84" s="2"/>
      <c r="Q84" s="60"/>
      <c r="R84" s="60"/>
      <c r="S84" s="60"/>
      <c r="T84" s="60"/>
      <c r="U84" s="60"/>
      <c r="V84" s="60"/>
    </row>
    <row r="85" spans="1:22" ht="16.5" customHeight="1" x14ac:dyDescent="0.25">
      <c r="A85" s="808"/>
      <c r="B85" s="913"/>
      <c r="C85" s="359"/>
      <c r="D85" s="470"/>
      <c r="E85" s="470"/>
      <c r="F85" s="365"/>
      <c r="G85" s="365"/>
      <c r="H85" s="365"/>
      <c r="I85" s="363"/>
      <c r="J85" s="363"/>
      <c r="K85" s="390"/>
      <c r="L85" s="363"/>
      <c r="M85" s="363"/>
      <c r="N85" s="917"/>
      <c r="O85" s="467"/>
      <c r="P85" s="2"/>
      <c r="Q85" s="33"/>
      <c r="R85" s="60"/>
      <c r="S85" s="60"/>
      <c r="T85" s="60"/>
      <c r="U85" s="60"/>
      <c r="V85" s="60"/>
    </row>
    <row r="86" spans="1:22" ht="16.5" customHeight="1" x14ac:dyDescent="0.2">
      <c r="A86" s="808"/>
      <c r="B86" s="2014" t="s">
        <v>86</v>
      </c>
      <c r="C86" s="2015"/>
      <c r="D86" s="715">
        <f>Шкаф_необогр</f>
        <v>28000</v>
      </c>
      <c r="E86" s="713"/>
      <c r="F86" s="2022" t="s">
        <v>68</v>
      </c>
      <c r="G86" s="1846"/>
      <c r="H86" s="1846"/>
      <c r="I86" s="1846"/>
      <c r="J86" s="1846"/>
      <c r="K86" s="1846"/>
      <c r="L86" s="1846"/>
      <c r="M86" s="1846"/>
      <c r="N86" s="1902"/>
      <c r="O86" s="401"/>
      <c r="P86" s="2"/>
      <c r="Q86" s="60"/>
      <c r="R86" s="60"/>
      <c r="S86" s="60"/>
      <c r="T86" s="60"/>
      <c r="U86" s="60"/>
      <c r="V86" s="60"/>
    </row>
    <row r="87" spans="1:22" ht="16.5" customHeight="1" thickBot="1" x14ac:dyDescent="0.25">
      <c r="A87" s="808"/>
      <c r="B87" s="2012" t="s">
        <v>87</v>
      </c>
      <c r="C87" s="2013"/>
      <c r="D87" s="902">
        <f>Шкаф_обогр</f>
        <v>49000</v>
      </c>
      <c r="E87" s="932"/>
      <c r="F87" s="2018" t="s">
        <v>67</v>
      </c>
      <c r="G87" s="1891"/>
      <c r="H87" s="1891"/>
      <c r="I87" s="1891"/>
      <c r="J87" s="1891"/>
      <c r="K87" s="1891"/>
      <c r="L87" s="1891"/>
      <c r="M87" s="1891"/>
      <c r="N87" s="1892"/>
      <c r="O87" s="465"/>
      <c r="P87" s="60"/>
      <c r="Q87" s="602"/>
      <c r="R87" s="60"/>
      <c r="S87" s="60"/>
      <c r="T87" s="60"/>
      <c r="U87" s="60"/>
      <c r="V87" s="10"/>
    </row>
    <row r="88" spans="1:22" ht="15" customHeight="1" x14ac:dyDescent="0.2">
      <c r="A88" s="1"/>
      <c r="B88" s="419"/>
      <c r="C88" s="419"/>
      <c r="D88" s="457"/>
      <c r="E88" s="457"/>
      <c r="F88" s="459"/>
      <c r="G88" s="459"/>
      <c r="H88" s="459"/>
      <c r="I88" s="459"/>
      <c r="J88" s="459"/>
      <c r="K88" s="459"/>
      <c r="L88" s="459"/>
      <c r="M88" s="459"/>
      <c r="N88" s="462"/>
      <c r="O88" s="465"/>
      <c r="P88" s="60"/>
      <c r="Q88" s="33"/>
      <c r="R88" s="60"/>
      <c r="S88" s="60"/>
      <c r="T88" s="60"/>
      <c r="U88" s="60"/>
      <c r="V88" s="10"/>
    </row>
    <row r="89" spans="1:22" ht="15" customHeight="1" x14ac:dyDescent="0.2">
      <c r="A89" s="1"/>
      <c r="B89" s="419"/>
      <c r="C89" s="419"/>
      <c r="D89" s="457"/>
      <c r="E89" s="457"/>
      <c r="F89" s="459"/>
      <c r="G89" s="459"/>
      <c r="H89" s="459"/>
      <c r="I89" s="459"/>
      <c r="J89" s="459"/>
      <c r="K89" s="459"/>
      <c r="L89" s="459"/>
      <c r="M89" s="459"/>
      <c r="N89" s="462"/>
      <c r="O89" s="465"/>
      <c r="P89" s="60"/>
      <c r="Q89" s="60"/>
      <c r="R89" s="60"/>
      <c r="S89" s="60"/>
      <c r="T89" s="60"/>
      <c r="U89" s="60"/>
      <c r="V89" s="10"/>
    </row>
    <row r="90" spans="1:22" ht="16.5" customHeight="1" x14ac:dyDescent="0.2">
      <c r="A90" s="1"/>
      <c r="B90" s="471"/>
      <c r="C90" s="371"/>
      <c r="D90" s="513"/>
      <c r="E90" s="513"/>
      <c r="F90" s="514"/>
      <c r="G90" s="515"/>
      <c r="H90" s="515"/>
      <c r="I90" s="515"/>
      <c r="J90" s="397"/>
      <c r="K90" s="397"/>
      <c r="L90" s="397"/>
      <c r="M90" s="397"/>
      <c r="N90" s="397"/>
      <c r="O90" s="467"/>
      <c r="P90" s="60"/>
      <c r="Q90" s="33"/>
      <c r="R90" s="60"/>
      <c r="S90" s="60"/>
      <c r="T90" s="60"/>
      <c r="U90" s="60"/>
      <c r="V90" s="10"/>
    </row>
    <row r="91" spans="1:22" ht="16.5" customHeight="1" x14ac:dyDescent="0.25">
      <c r="A91" s="1"/>
      <c r="B91" s="464"/>
      <c r="C91" s="371"/>
      <c r="D91" s="478" t="s">
        <v>1208</v>
      </c>
      <c r="E91" s="478"/>
      <c r="F91" s="65"/>
      <c r="G91" s="515"/>
      <c r="H91" s="515"/>
      <c r="I91" s="515"/>
      <c r="J91" s="397"/>
      <c r="K91" s="397"/>
      <c r="L91" s="397"/>
      <c r="M91" s="397"/>
      <c r="N91" s="397"/>
      <c r="O91" s="254"/>
      <c r="P91" s="60"/>
      <c r="Q91" s="60"/>
      <c r="R91" s="60"/>
      <c r="S91" s="60"/>
      <c r="T91" s="60"/>
      <c r="U91" s="60"/>
      <c r="V91" s="10"/>
    </row>
    <row r="92" spans="1:22" ht="16.5" customHeight="1" thickBot="1" x14ac:dyDescent="0.25">
      <c r="A92" s="1"/>
      <c r="B92" s="370"/>
      <c r="C92" s="371"/>
      <c r="D92" s="642" t="s">
        <v>818</v>
      </c>
      <c r="E92" s="254"/>
      <c r="F92" s="970"/>
      <c r="G92" s="971"/>
      <c r="H92" s="397"/>
      <c r="I92" s="397"/>
      <c r="J92" s="397"/>
      <c r="K92" s="397"/>
      <c r="L92" s="397"/>
      <c r="M92" s="397"/>
      <c r="N92" s="397"/>
      <c r="O92" s="219"/>
      <c r="P92" s="60"/>
      <c r="Q92" s="602"/>
      <c r="R92" s="60"/>
      <c r="S92" s="60"/>
      <c r="T92" s="60"/>
      <c r="U92" s="60"/>
      <c r="V92" s="10"/>
    </row>
    <row r="93" spans="1:22" ht="16.5" customHeight="1" x14ac:dyDescent="0.2">
      <c r="A93" s="808"/>
      <c r="B93" s="911" t="s">
        <v>535</v>
      </c>
      <c r="C93" s="905"/>
      <c r="D93" s="906" t="s">
        <v>821</v>
      </c>
      <c r="E93" s="907" t="s">
        <v>820</v>
      </c>
      <c r="F93" s="908" t="s">
        <v>276</v>
      </c>
      <c r="G93" s="977"/>
      <c r="H93" s="909"/>
      <c r="I93" s="909"/>
      <c r="J93" s="909"/>
      <c r="K93" s="909"/>
      <c r="L93" s="909"/>
      <c r="M93" s="905"/>
      <c r="N93" s="910"/>
      <c r="O93" s="465"/>
      <c r="P93" s="60"/>
      <c r="Q93" s="33"/>
      <c r="R93" s="60"/>
      <c r="S93" s="60"/>
      <c r="T93" s="60"/>
      <c r="U93" s="60"/>
      <c r="V93" s="10"/>
    </row>
    <row r="94" spans="1:22" ht="16.5" customHeight="1" x14ac:dyDescent="0.2">
      <c r="A94" s="808"/>
      <c r="B94" s="498" t="s">
        <v>1209</v>
      </c>
      <c r="C94" s="473"/>
      <c r="D94" s="949">
        <f>ФУТП</f>
        <v>84</v>
      </c>
      <c r="E94" s="947">
        <f>SUM(D94*1.25)</f>
        <v>105</v>
      </c>
      <c r="F94" s="223" t="s">
        <v>1210</v>
      </c>
      <c r="G94" s="230"/>
      <c r="H94" s="230"/>
      <c r="I94" s="230"/>
      <c r="J94" s="219"/>
      <c r="K94" s="219"/>
      <c r="L94" s="219"/>
      <c r="M94" s="219"/>
      <c r="N94" s="933"/>
      <c r="O94" s="465"/>
      <c r="P94" s="60"/>
      <c r="Q94" s="33"/>
      <c r="R94" s="60"/>
      <c r="S94" s="60"/>
      <c r="T94" s="60"/>
      <c r="U94" s="60"/>
      <c r="V94" s="10"/>
    </row>
    <row r="95" spans="1:22" ht="16.5" customHeight="1" thickBot="1" x14ac:dyDescent="0.25">
      <c r="A95" s="808"/>
      <c r="B95" s="937"/>
      <c r="C95" s="934"/>
      <c r="D95" s="982"/>
      <c r="E95" s="981"/>
      <c r="F95" s="935"/>
      <c r="G95" s="888"/>
      <c r="H95" s="888"/>
      <c r="I95" s="888"/>
      <c r="J95" s="890"/>
      <c r="K95" s="890"/>
      <c r="L95" s="890"/>
      <c r="M95" s="890"/>
      <c r="N95" s="936"/>
      <c r="O95" s="465"/>
      <c r="P95" s="60"/>
      <c r="Q95" s="60"/>
      <c r="R95" s="60"/>
      <c r="S95" s="60"/>
      <c r="T95" s="60"/>
      <c r="U95" s="60"/>
      <c r="V95" s="10"/>
    </row>
    <row r="96" spans="1:22" ht="15" customHeight="1" x14ac:dyDescent="0.2">
      <c r="A96" s="2"/>
      <c r="B96" s="388"/>
      <c r="C96" s="274"/>
      <c r="D96" s="389"/>
      <c r="E96" s="389"/>
      <c r="F96" s="389"/>
      <c r="G96" s="230"/>
      <c r="H96" s="230"/>
      <c r="I96" s="230"/>
      <c r="J96" s="219"/>
      <c r="K96" s="219"/>
      <c r="L96" s="219"/>
      <c r="M96" s="219"/>
      <c r="N96" s="219"/>
      <c r="O96" s="465"/>
      <c r="P96" s="60"/>
      <c r="Q96" s="33"/>
      <c r="R96" s="60"/>
      <c r="S96" s="60"/>
      <c r="T96" s="60"/>
      <c r="U96" s="60"/>
      <c r="V96" s="10"/>
    </row>
    <row r="97" spans="1:22" ht="15" customHeight="1" x14ac:dyDescent="0.2">
      <c r="A97" s="1"/>
      <c r="B97" s="471"/>
      <c r="C97" s="371"/>
      <c r="D97" s="513"/>
      <c r="E97" s="513"/>
      <c r="F97" s="514"/>
      <c r="G97" s="515"/>
      <c r="H97" s="515"/>
      <c r="I97" s="515"/>
      <c r="J97" s="397"/>
      <c r="K97" s="397"/>
      <c r="L97" s="397"/>
      <c r="M97" s="397"/>
      <c r="N97" s="397"/>
      <c r="O97" s="465"/>
      <c r="P97" s="60"/>
      <c r="Q97" s="33"/>
      <c r="R97" s="60"/>
      <c r="S97" s="60"/>
      <c r="T97" s="60"/>
      <c r="U97" s="60"/>
      <c r="V97" s="10"/>
    </row>
    <row r="98" spans="1:22" ht="16.5" customHeight="1" x14ac:dyDescent="0.25">
      <c r="A98" s="1"/>
      <c r="B98" s="464"/>
      <c r="C98" s="371"/>
      <c r="D98" s="478" t="s">
        <v>1211</v>
      </c>
      <c r="E98" s="478"/>
      <c r="F98" s="65"/>
      <c r="G98" s="515"/>
      <c r="H98" s="515"/>
      <c r="I98" s="515"/>
      <c r="J98" s="397"/>
      <c r="K98" s="397"/>
      <c r="L98" s="397"/>
      <c r="M98" s="397"/>
      <c r="N98" s="397"/>
      <c r="O98" s="465"/>
      <c r="P98" s="60"/>
      <c r="Q98" s="593"/>
      <c r="R98" s="60"/>
      <c r="S98" s="60"/>
      <c r="T98" s="60"/>
      <c r="U98" s="60"/>
      <c r="V98" s="10"/>
    </row>
    <row r="99" spans="1:22" ht="16.5" customHeight="1" thickBot="1" x14ac:dyDescent="0.25">
      <c r="A99" s="1"/>
      <c r="B99" s="938"/>
      <c r="C99" s="939"/>
      <c r="D99" s="642" t="s">
        <v>818</v>
      </c>
      <c r="E99" s="940"/>
      <c r="F99" s="941"/>
      <c r="G99" s="942"/>
      <c r="H99" s="943"/>
      <c r="I99" s="943"/>
      <c r="J99" s="943"/>
      <c r="K99" s="943"/>
      <c r="L99" s="943"/>
      <c r="M99" s="943"/>
      <c r="N99" s="943"/>
      <c r="O99" s="465"/>
      <c r="P99" s="60"/>
      <c r="Q99" s="33"/>
      <c r="R99" s="60"/>
      <c r="S99" s="60"/>
      <c r="T99" s="60"/>
      <c r="U99" s="60"/>
      <c r="V99" s="10"/>
    </row>
    <row r="100" spans="1:22" ht="16.5" customHeight="1" x14ac:dyDescent="0.2">
      <c r="A100" s="808"/>
      <c r="B100" s="911" t="s">
        <v>535</v>
      </c>
      <c r="C100" s="905"/>
      <c r="D100" s="906" t="s">
        <v>821</v>
      </c>
      <c r="E100" s="907" t="s">
        <v>820</v>
      </c>
      <c r="F100" s="908" t="s">
        <v>276</v>
      </c>
      <c r="G100" s="977"/>
      <c r="H100" s="909"/>
      <c r="I100" s="909"/>
      <c r="J100" s="909"/>
      <c r="K100" s="909"/>
      <c r="L100" s="909"/>
      <c r="M100" s="905"/>
      <c r="N100" s="910"/>
      <c r="O100" s="465"/>
      <c r="P100" s="60"/>
      <c r="Q100" s="60"/>
      <c r="R100" s="60"/>
      <c r="S100" s="60"/>
      <c r="T100" s="60"/>
      <c r="U100" s="60"/>
      <c r="V100" s="10"/>
    </row>
    <row r="101" spans="1:22" ht="27" customHeight="1" x14ac:dyDescent="0.2">
      <c r="A101" s="808"/>
      <c r="B101" s="498" t="s">
        <v>1212</v>
      </c>
      <c r="C101" s="473"/>
      <c r="D101" s="949">
        <f>ПВС1</f>
        <v>56</v>
      </c>
      <c r="E101" s="947">
        <f>SUM(D101*1.25)</f>
        <v>70</v>
      </c>
      <c r="F101" s="2043" t="s">
        <v>1213</v>
      </c>
      <c r="G101" s="1846"/>
      <c r="H101" s="1846"/>
      <c r="I101" s="1846"/>
      <c r="J101" s="1846"/>
      <c r="K101" s="1846"/>
      <c r="L101" s="1846"/>
      <c r="M101" s="1846"/>
      <c r="N101" s="1902"/>
      <c r="O101" s="465"/>
      <c r="P101" s="60"/>
      <c r="Q101" s="33"/>
      <c r="R101" s="60"/>
      <c r="S101" s="60"/>
      <c r="T101" s="60"/>
      <c r="U101" s="60"/>
      <c r="V101" s="10"/>
    </row>
    <row r="102" spans="1:22" ht="27" customHeight="1" thickBot="1" x14ac:dyDescent="0.25">
      <c r="A102" s="808"/>
      <c r="B102" s="973" t="s">
        <v>1214</v>
      </c>
      <c r="C102" s="972"/>
      <c r="D102" s="902">
        <f>ПВС2</f>
        <v>84</v>
      </c>
      <c r="E102" s="901">
        <f>SUM(D102*1.25)</f>
        <v>105</v>
      </c>
      <c r="F102" s="2018" t="s">
        <v>1215</v>
      </c>
      <c r="G102" s="1926"/>
      <c r="H102" s="1926"/>
      <c r="I102" s="1926"/>
      <c r="J102" s="1926"/>
      <c r="K102" s="1926"/>
      <c r="L102" s="1926"/>
      <c r="M102" s="1926"/>
      <c r="N102" s="1927"/>
      <c r="O102" s="465"/>
      <c r="P102" s="60"/>
      <c r="Q102" s="33"/>
      <c r="R102" s="60"/>
      <c r="S102" s="60"/>
      <c r="T102" s="60"/>
      <c r="U102" s="60"/>
      <c r="V102" s="10"/>
    </row>
    <row r="103" spans="1:22" ht="15" customHeight="1" x14ac:dyDescent="0.2">
      <c r="A103" s="2"/>
      <c r="B103" s="499"/>
      <c r="C103" s="371"/>
      <c r="D103" s="254"/>
      <c r="E103" s="254"/>
      <c r="F103" s="472"/>
      <c r="G103" s="397"/>
      <c r="H103" s="397"/>
      <c r="I103" s="397"/>
      <c r="J103" s="397"/>
      <c r="K103" s="397"/>
      <c r="L103" s="397"/>
      <c r="M103" s="397"/>
      <c r="N103" s="397"/>
      <c r="O103" s="465"/>
      <c r="P103" s="60"/>
      <c r="Q103" s="60"/>
      <c r="R103" s="60"/>
      <c r="S103" s="60"/>
      <c r="T103" s="60"/>
      <c r="U103" s="60"/>
      <c r="V103" s="10"/>
    </row>
    <row r="104" spans="1:22" ht="15" customHeight="1" x14ac:dyDescent="0.2">
      <c r="A104" s="2"/>
      <c r="B104" s="499"/>
      <c r="C104" s="371"/>
      <c r="D104" s="254"/>
      <c r="E104" s="254"/>
      <c r="F104" s="472"/>
      <c r="G104" s="397"/>
      <c r="H104" s="397"/>
      <c r="I104" s="397"/>
      <c r="J104" s="397"/>
      <c r="K104" s="397"/>
      <c r="L104" s="397"/>
      <c r="M104" s="397"/>
      <c r="N104" s="397"/>
      <c r="O104" s="465"/>
      <c r="P104" s="60"/>
      <c r="Q104" s="33"/>
      <c r="R104" s="60"/>
      <c r="S104" s="60"/>
      <c r="T104" s="60"/>
      <c r="U104" s="60"/>
      <c r="V104" s="10"/>
    </row>
    <row r="105" spans="1:22" ht="16.5" customHeight="1" x14ac:dyDescent="0.2">
      <c r="A105" s="2"/>
      <c r="B105" s="499"/>
      <c r="C105" s="371"/>
      <c r="D105" s="513"/>
      <c r="E105" s="513"/>
      <c r="F105" s="622" t="s">
        <v>125</v>
      </c>
      <c r="G105" s="623"/>
      <c r="H105" s="558"/>
      <c r="I105" s="513"/>
      <c r="J105" s="397"/>
      <c r="K105" s="397"/>
      <c r="L105" s="397"/>
      <c r="M105" s="397"/>
      <c r="N105" s="397"/>
      <c r="O105" s="465"/>
      <c r="P105" s="60"/>
      <c r="Q105" s="33"/>
      <c r="R105" s="60"/>
      <c r="S105" s="60"/>
      <c r="T105" s="60"/>
      <c r="U105" s="60"/>
      <c r="V105" s="10"/>
    </row>
    <row r="106" spans="1:22" ht="16.5" customHeight="1" x14ac:dyDescent="0.25">
      <c r="A106" s="2"/>
      <c r="B106" s="499"/>
      <c r="C106" s="371"/>
      <c r="D106" s="478" t="s">
        <v>665</v>
      </c>
      <c r="E106" s="478"/>
      <c r="F106" s="624"/>
      <c r="G106" s="559"/>
      <c r="H106" s="559"/>
      <c r="I106" s="560"/>
      <c r="J106" s="397"/>
      <c r="K106" s="397"/>
      <c r="L106" s="397"/>
      <c r="M106" s="397"/>
      <c r="N106" s="397"/>
      <c r="O106" s="465"/>
      <c r="P106" s="60"/>
      <c r="Q106" s="33"/>
      <c r="R106" s="60"/>
      <c r="S106" s="60"/>
      <c r="T106" s="60"/>
      <c r="U106" s="60"/>
      <c r="V106" s="10"/>
    </row>
    <row r="107" spans="1:22" ht="16.5" customHeight="1" thickBot="1" x14ac:dyDescent="0.25">
      <c r="A107" s="2"/>
      <c r="B107" s="944"/>
      <c r="C107" s="939"/>
      <c r="D107" s="940"/>
      <c r="E107" s="940"/>
      <c r="F107" s="945"/>
      <c r="G107" s="943"/>
      <c r="H107" s="943"/>
      <c r="I107" s="943"/>
      <c r="J107" s="943"/>
      <c r="K107" s="943"/>
      <c r="L107" s="943"/>
      <c r="M107" s="943"/>
      <c r="N107" s="943"/>
      <c r="O107" s="465"/>
      <c r="P107" s="60"/>
      <c r="Q107" s="33"/>
      <c r="R107" s="60"/>
      <c r="S107" s="60"/>
      <c r="T107" s="60"/>
      <c r="U107" s="60"/>
      <c r="V107" s="10"/>
    </row>
    <row r="108" spans="1:22" ht="16.5" customHeight="1" x14ac:dyDescent="0.2">
      <c r="A108" s="808"/>
      <c r="B108" s="911"/>
      <c r="C108" s="905"/>
      <c r="D108" s="905"/>
      <c r="E108" s="905"/>
      <c r="F108" s="977"/>
      <c r="G108" s="977"/>
      <c r="H108" s="909"/>
      <c r="I108" s="909"/>
      <c r="J108" s="909"/>
      <c r="K108" s="909"/>
      <c r="L108" s="909"/>
      <c r="M108" s="905"/>
      <c r="N108" s="910"/>
      <c r="O108" s="465"/>
      <c r="P108" s="60"/>
      <c r="Q108" s="33"/>
      <c r="R108" s="60"/>
      <c r="S108" s="60"/>
      <c r="T108" s="60"/>
      <c r="U108" s="60"/>
      <c r="V108" s="10"/>
    </row>
    <row r="109" spans="1:22" ht="16.5" customHeight="1" x14ac:dyDescent="0.2">
      <c r="A109" s="808"/>
      <c r="B109" s="498" t="s">
        <v>665</v>
      </c>
      <c r="C109" s="281"/>
      <c r="D109" s="976"/>
      <c r="E109" s="976"/>
      <c r="F109" s="474" t="s">
        <v>125</v>
      </c>
      <c r="G109" s="230"/>
      <c r="H109" s="230"/>
      <c r="I109" s="230"/>
      <c r="J109" s="219"/>
      <c r="K109" s="219"/>
      <c r="L109" s="219"/>
      <c r="M109" s="219"/>
      <c r="N109" s="933"/>
      <c r="O109" s="465"/>
      <c r="P109" s="60"/>
      <c r="Q109" s="60"/>
      <c r="R109" s="60"/>
      <c r="S109" s="60"/>
      <c r="T109" s="60"/>
      <c r="U109" s="60"/>
      <c r="V109" s="10"/>
    </row>
    <row r="110" spans="1:22" ht="16.5" customHeight="1" thickBot="1" x14ac:dyDescent="0.25">
      <c r="A110" s="808"/>
      <c r="B110" s="975"/>
      <c r="C110" s="946"/>
      <c r="D110" s="935"/>
      <c r="E110" s="935"/>
      <c r="F110" s="1130" t="s">
        <v>151</v>
      </c>
      <c r="G110" s="1130"/>
      <c r="H110" s="1130"/>
      <c r="I110" s="1130"/>
      <c r="J110" s="890"/>
      <c r="K110" s="890"/>
      <c r="L110" s="890"/>
      <c r="M110" s="890"/>
      <c r="N110" s="936"/>
      <c r="O110" s="465"/>
      <c r="P110" s="60"/>
      <c r="Q110" s="602"/>
      <c r="R110" s="60"/>
      <c r="S110" s="60"/>
      <c r="T110" s="60"/>
      <c r="U110" s="60"/>
      <c r="V110" s="10"/>
    </row>
    <row r="111" spans="1:22" ht="15" customHeight="1" x14ac:dyDescent="0.2">
      <c r="A111" s="1"/>
      <c r="B111" s="388"/>
      <c r="C111" s="274"/>
      <c r="D111" s="389"/>
      <c r="E111" s="389"/>
      <c r="F111" s="390"/>
      <c r="G111" s="230"/>
      <c r="H111" s="230"/>
      <c r="I111" s="230"/>
      <c r="J111" s="219"/>
      <c r="K111" s="219"/>
      <c r="L111" s="219"/>
      <c r="M111" s="219"/>
      <c r="N111" s="219"/>
      <c r="O111" s="465"/>
      <c r="P111" s="60"/>
      <c r="Q111" s="602"/>
      <c r="R111" s="60"/>
      <c r="S111" s="60"/>
      <c r="T111" s="60"/>
      <c r="U111" s="60"/>
      <c r="V111" s="10"/>
    </row>
    <row r="112" spans="1:22" ht="16.5" customHeight="1" x14ac:dyDescent="0.2">
      <c r="A112" s="1"/>
      <c r="B112" s="625"/>
      <c r="C112" s="512"/>
      <c r="D112" s="626"/>
      <c r="E112" s="626"/>
      <c r="F112" s="627"/>
      <c r="G112" s="628"/>
      <c r="H112" s="380"/>
      <c r="I112" s="629"/>
      <c r="J112" s="541"/>
      <c r="K112" s="541"/>
      <c r="L112" s="541"/>
      <c r="M112" s="542"/>
      <c r="N112" s="379"/>
      <c r="O112" s="465"/>
      <c r="P112" s="60"/>
      <c r="Q112" s="602"/>
      <c r="R112" s="60"/>
      <c r="S112" s="60"/>
      <c r="T112" s="60"/>
      <c r="U112" s="60"/>
      <c r="V112" s="10"/>
    </row>
    <row r="113" spans="1:22" ht="16.5" customHeight="1" x14ac:dyDescent="0.2">
      <c r="A113" s="1"/>
      <c r="B113" s="228" t="s">
        <v>269</v>
      </c>
      <c r="C113" s="249"/>
      <c r="D113" s="254"/>
      <c r="E113" s="254"/>
      <c r="F113" s="251"/>
      <c r="G113" s="229"/>
      <c r="H113" s="229"/>
      <c r="I113" s="251"/>
      <c r="J113" s="251"/>
      <c r="K113" s="251"/>
      <c r="L113" s="229"/>
      <c r="M113" s="252"/>
      <c r="N113" s="252"/>
      <c r="O113" s="465"/>
      <c r="P113" s="60"/>
      <c r="Q113" s="33"/>
      <c r="R113" s="60"/>
      <c r="S113" s="60"/>
      <c r="T113" s="60"/>
      <c r="U113" s="60"/>
      <c r="V113" s="10"/>
    </row>
    <row r="114" spans="1:22" ht="16.5" customHeight="1" x14ac:dyDescent="0.2">
      <c r="A114" s="1"/>
      <c r="B114" s="255" t="s">
        <v>464</v>
      </c>
      <c r="C114" s="249"/>
      <c r="D114" s="254"/>
      <c r="E114" s="254"/>
      <c r="F114" s="251"/>
      <c r="G114" s="229"/>
      <c r="H114" s="229"/>
      <c r="I114" s="251"/>
      <c r="J114" s="251"/>
      <c r="K114" s="251"/>
      <c r="L114" s="229"/>
      <c r="M114" s="252"/>
      <c r="N114" s="252"/>
      <c r="O114" s="465"/>
      <c r="P114" s="60"/>
      <c r="Q114" s="603"/>
      <c r="R114" s="60"/>
      <c r="S114" s="60"/>
      <c r="T114" s="60"/>
      <c r="U114" s="60"/>
      <c r="V114" s="10"/>
    </row>
    <row r="115" spans="1:22" ht="15" customHeight="1" x14ac:dyDescent="0.2">
      <c r="A115" s="1"/>
      <c r="B115" s="228"/>
      <c r="C115" s="249"/>
      <c r="D115" s="254"/>
      <c r="E115" s="254"/>
      <c r="F115" s="251"/>
      <c r="G115" s="229"/>
      <c r="H115" s="229"/>
      <c r="I115" s="251"/>
      <c r="J115" s="251"/>
      <c r="K115" s="251"/>
      <c r="L115" s="229"/>
      <c r="M115" s="252"/>
      <c r="N115" s="252"/>
      <c r="O115" s="465"/>
      <c r="P115" s="60"/>
      <c r="Q115" s="33"/>
      <c r="R115" s="60"/>
      <c r="S115" s="60"/>
      <c r="T115" s="60"/>
      <c r="U115" s="60"/>
      <c r="V115" s="10"/>
    </row>
    <row r="116" spans="1:22" ht="15" customHeight="1" x14ac:dyDescent="0.2">
      <c r="A116" s="1"/>
      <c r="B116" s="255"/>
      <c r="C116" s="249"/>
      <c r="D116" s="254"/>
      <c r="E116" s="254"/>
      <c r="F116" s="251"/>
      <c r="G116" s="229"/>
      <c r="H116" s="229"/>
      <c r="I116" s="251"/>
      <c r="J116" s="251"/>
      <c r="K116" s="251"/>
      <c r="L116" s="229"/>
      <c r="M116" s="252"/>
      <c r="N116" s="252"/>
      <c r="O116" s="465"/>
      <c r="P116" s="60"/>
      <c r="Q116" s="602"/>
      <c r="R116" s="60"/>
      <c r="S116" s="60"/>
      <c r="T116" s="60"/>
      <c r="U116" s="60"/>
      <c r="V116" s="10"/>
    </row>
    <row r="117" spans="1:22" ht="15" customHeight="1" x14ac:dyDescent="0.2">
      <c r="A117" s="1"/>
      <c r="B117" s="255"/>
      <c r="C117" s="249"/>
      <c r="D117" s="254"/>
      <c r="E117" s="254"/>
      <c r="F117" s="251"/>
      <c r="G117" s="229"/>
      <c r="H117" s="229"/>
      <c r="I117" s="251"/>
      <c r="J117" s="251"/>
      <c r="K117" s="251"/>
      <c r="L117" s="229"/>
      <c r="M117" s="252"/>
      <c r="N117" s="252"/>
      <c r="O117" s="465"/>
      <c r="P117" s="60"/>
      <c r="Q117" s="602"/>
      <c r="R117" s="60"/>
      <c r="S117" s="60"/>
      <c r="T117" s="60"/>
      <c r="U117" s="60"/>
      <c r="V117" s="10"/>
    </row>
    <row r="118" spans="1:22" ht="15" customHeight="1" x14ac:dyDescent="0.2">
      <c r="A118" s="1"/>
      <c r="B118" s="249"/>
      <c r="C118" s="249"/>
      <c r="D118" s="254"/>
      <c r="E118" s="254"/>
      <c r="F118" s="251"/>
      <c r="G118" s="229"/>
      <c r="H118" s="229"/>
      <c r="I118" s="251"/>
      <c r="J118" s="251"/>
      <c r="K118" s="251"/>
      <c r="L118" s="229"/>
      <c r="M118" s="252"/>
      <c r="N118" s="252"/>
      <c r="O118" s="465"/>
      <c r="P118" s="60"/>
      <c r="Q118" s="572"/>
      <c r="R118" s="60"/>
      <c r="S118" s="60"/>
      <c r="T118" s="60"/>
      <c r="U118" s="60"/>
      <c r="V118" s="10"/>
    </row>
    <row r="119" spans="1:22" ht="16.5" customHeight="1" x14ac:dyDescent="0.2">
      <c r="A119" s="1"/>
      <c r="B119" s="249"/>
      <c r="C119" s="249"/>
      <c r="D119" s="254"/>
      <c r="E119" s="254"/>
      <c r="F119" s="251"/>
      <c r="G119" s="229"/>
      <c r="H119" s="229"/>
      <c r="I119" s="251"/>
      <c r="J119" s="251"/>
      <c r="K119" s="251"/>
      <c r="L119" s="229"/>
      <c r="M119" s="252"/>
      <c r="N119" s="252"/>
      <c r="O119" s="465"/>
      <c r="P119" s="60"/>
      <c r="Q119" s="572"/>
      <c r="R119" s="60"/>
      <c r="S119" s="60"/>
      <c r="T119" s="60"/>
      <c r="U119" s="60"/>
      <c r="V119" s="10"/>
    </row>
    <row r="120" spans="1:22" ht="16.5" customHeight="1" x14ac:dyDescent="0.2">
      <c r="A120" s="1"/>
      <c r="B120" s="249"/>
      <c r="C120" s="249"/>
      <c r="D120" s="254"/>
      <c r="E120" s="254"/>
      <c r="F120" s="251"/>
      <c r="G120" s="229"/>
      <c r="H120" s="229"/>
      <c r="I120" s="251"/>
      <c r="J120" s="251"/>
      <c r="K120" s="251"/>
      <c r="L120" s="229"/>
      <c r="M120" s="252"/>
      <c r="N120" s="252"/>
      <c r="O120" s="465"/>
      <c r="P120" s="60"/>
      <c r="Q120" s="601"/>
      <c r="R120" s="60"/>
      <c r="S120" s="60"/>
      <c r="T120" s="60"/>
      <c r="U120" s="60"/>
      <c r="V120" s="10"/>
    </row>
    <row r="121" spans="1:22" ht="16.5" customHeight="1" x14ac:dyDescent="0.2">
      <c r="A121" s="1"/>
      <c r="B121" s="249"/>
      <c r="C121" s="249"/>
      <c r="D121" s="254"/>
      <c r="E121" s="254"/>
      <c r="F121" s="251"/>
      <c r="G121" s="229"/>
      <c r="H121" s="229"/>
      <c r="I121" s="251"/>
      <c r="J121" s="251"/>
      <c r="K121" s="251"/>
      <c r="L121" s="229"/>
      <c r="M121" s="252"/>
      <c r="N121" s="252"/>
      <c r="O121" s="465"/>
      <c r="P121" s="60"/>
      <c r="Q121" s="572"/>
      <c r="R121" s="60"/>
      <c r="S121" s="60"/>
      <c r="T121" s="60"/>
      <c r="U121" s="60"/>
      <c r="V121" s="10"/>
    </row>
    <row r="122" spans="1:22" ht="12.75" customHeight="1" x14ac:dyDescent="0.2">
      <c r="A122" s="1"/>
      <c r="B122" s="249"/>
      <c r="C122" s="249"/>
      <c r="D122" s="254"/>
      <c r="E122" s="254"/>
      <c r="F122" s="251"/>
      <c r="G122" s="229"/>
      <c r="H122" s="229"/>
      <c r="I122" s="251"/>
      <c r="J122" s="251"/>
      <c r="K122" s="251"/>
      <c r="L122" s="229"/>
      <c r="M122" s="252"/>
      <c r="N122" s="252"/>
      <c r="O122" s="465"/>
      <c r="P122" s="60"/>
      <c r="Q122" s="601"/>
      <c r="R122" s="60"/>
      <c r="S122" s="60"/>
      <c r="T122" s="60"/>
      <c r="U122" s="60"/>
      <c r="V122" s="10"/>
    </row>
    <row r="123" spans="1:22" ht="12.75" customHeight="1" x14ac:dyDescent="0.2">
      <c r="A123" s="1"/>
      <c r="B123" s="1129"/>
      <c r="C123" s="249"/>
      <c r="D123" s="254"/>
      <c r="E123" s="254"/>
      <c r="F123" s="251"/>
      <c r="G123" s="229"/>
      <c r="H123" s="229"/>
      <c r="I123" s="251"/>
      <c r="J123" s="251"/>
      <c r="K123" s="251"/>
      <c r="L123" s="229"/>
      <c r="M123" s="252"/>
      <c r="N123" s="252"/>
      <c r="O123" s="229"/>
      <c r="P123" s="34"/>
      <c r="Q123" s="572"/>
      <c r="R123" s="60"/>
      <c r="S123" s="60"/>
      <c r="T123" s="10"/>
      <c r="U123" s="10"/>
      <c r="V123" s="10"/>
    </row>
    <row r="124" spans="1:22" ht="12.75" customHeight="1" x14ac:dyDescent="0.2">
      <c r="A124" s="1"/>
      <c r="B124" s="3"/>
      <c r="D124" s="254"/>
      <c r="E124" s="254"/>
      <c r="F124" s="251"/>
      <c r="G124" s="229"/>
      <c r="H124" s="229"/>
      <c r="I124" s="251"/>
      <c r="J124" s="251"/>
      <c r="K124" s="251"/>
      <c r="L124" s="229"/>
      <c r="M124" s="252"/>
      <c r="N124" s="252"/>
      <c r="O124" s="229"/>
      <c r="P124" s="34"/>
      <c r="Q124" s="604"/>
      <c r="R124" s="60"/>
      <c r="S124" s="60"/>
      <c r="T124" s="10"/>
      <c r="U124" s="10"/>
      <c r="V124" s="10"/>
    </row>
    <row r="125" spans="1:22" ht="12.75" customHeight="1" x14ac:dyDescent="0.2">
      <c r="A125" s="2"/>
      <c r="B125" s="249"/>
      <c r="C125" s="249"/>
      <c r="D125" s="254"/>
      <c r="E125" s="254"/>
      <c r="F125" s="251"/>
      <c r="G125" s="229"/>
      <c r="H125" s="229"/>
      <c r="I125" s="251"/>
      <c r="J125" s="251"/>
      <c r="K125" s="251"/>
      <c r="L125" s="229"/>
      <c r="M125" s="252"/>
      <c r="N125" s="252"/>
      <c r="O125" s="229"/>
      <c r="P125" s="34"/>
      <c r="Q125" s="572"/>
      <c r="R125" s="60"/>
      <c r="S125" s="60"/>
      <c r="T125" s="10"/>
      <c r="U125" s="10"/>
      <c r="V125" s="10"/>
    </row>
    <row r="126" spans="1:22" ht="12.75" customHeight="1" x14ac:dyDescent="0.2">
      <c r="A126" s="2"/>
      <c r="B126" s="464"/>
      <c r="C126" s="249"/>
      <c r="D126" s="254"/>
      <c r="E126" s="254"/>
      <c r="F126" s="251"/>
      <c r="G126" s="229"/>
      <c r="H126" s="229"/>
      <c r="I126" s="251"/>
      <c r="J126" s="251"/>
      <c r="K126" s="251"/>
      <c r="L126" s="229"/>
      <c r="M126" s="252"/>
      <c r="N126" s="252"/>
      <c r="O126" s="229"/>
      <c r="P126" s="34"/>
      <c r="Q126" s="601"/>
      <c r="R126" s="60"/>
      <c r="S126" s="60"/>
      <c r="T126" s="10"/>
      <c r="U126" s="10"/>
      <c r="V126" s="10"/>
    </row>
    <row r="127" spans="1:22" ht="30" customHeight="1" x14ac:dyDescent="0.2">
      <c r="A127" s="1"/>
      <c r="B127" s="552" t="s">
        <v>972</v>
      </c>
      <c r="C127" s="631"/>
      <c r="D127" s="387"/>
      <c r="E127" s="387"/>
      <c r="F127" s="632"/>
      <c r="G127" s="385"/>
      <c r="H127" s="385"/>
      <c r="I127" s="385"/>
      <c r="J127" s="386"/>
      <c r="K127" s="386"/>
      <c r="L127" s="386"/>
      <c r="M127" s="386"/>
      <c r="N127" s="386"/>
      <c r="O127" s="229"/>
      <c r="P127" s="34"/>
      <c r="Q127" s="572"/>
      <c r="R127" s="60"/>
      <c r="S127" s="60"/>
      <c r="T127" s="10"/>
      <c r="U127" s="10"/>
      <c r="V127" s="10"/>
    </row>
    <row r="128" spans="1:22" ht="12.75" customHeight="1" x14ac:dyDescent="0.2">
      <c r="A128" s="1"/>
      <c r="B128" s="249"/>
      <c r="C128" s="249"/>
      <c r="D128" s="254"/>
      <c r="E128" s="254"/>
      <c r="F128" s="251"/>
      <c r="G128" s="229"/>
      <c r="H128" s="229"/>
      <c r="I128" s="251"/>
      <c r="J128" s="251"/>
      <c r="K128" s="251"/>
      <c r="L128" s="229"/>
      <c r="M128" s="252"/>
      <c r="N128" s="252"/>
      <c r="O128" s="229"/>
      <c r="P128" s="34"/>
      <c r="Q128" s="572"/>
      <c r="R128" s="60"/>
      <c r="S128" s="60"/>
      <c r="T128" s="10"/>
      <c r="U128" s="10"/>
      <c r="V128" s="10"/>
    </row>
    <row r="129" spans="1:22" ht="12.75" customHeight="1" x14ac:dyDescent="0.2">
      <c r="A129" s="1"/>
      <c r="B129" s="249"/>
      <c r="C129" s="249"/>
      <c r="D129" s="254"/>
      <c r="E129" s="254"/>
      <c r="F129" s="251"/>
      <c r="G129" s="229"/>
      <c r="H129" s="229"/>
      <c r="I129" s="251"/>
      <c r="J129" s="251"/>
      <c r="K129" s="251"/>
      <c r="L129" s="229"/>
      <c r="M129" s="252"/>
      <c r="N129" s="252"/>
      <c r="O129" s="229"/>
      <c r="P129" s="34"/>
      <c r="Q129" s="601"/>
      <c r="R129" s="60"/>
      <c r="S129" s="60"/>
      <c r="T129" s="10"/>
      <c r="U129" s="10"/>
      <c r="V129" s="10"/>
    </row>
    <row r="130" spans="1:22" ht="12.75" customHeight="1" x14ac:dyDescent="0.2">
      <c r="A130" s="2"/>
      <c r="B130" s="249"/>
      <c r="C130" s="249"/>
      <c r="D130" s="254"/>
      <c r="E130" s="254"/>
      <c r="F130" s="251"/>
      <c r="G130" s="229"/>
      <c r="H130" s="229"/>
      <c r="I130" s="251"/>
      <c r="J130" s="251"/>
      <c r="K130" s="251"/>
      <c r="L130" s="229"/>
      <c r="M130" s="252"/>
      <c r="N130" s="252"/>
      <c r="O130" s="229"/>
      <c r="P130" s="60"/>
      <c r="Q130" s="60"/>
      <c r="R130" s="60"/>
      <c r="S130" s="60"/>
      <c r="T130" s="10"/>
      <c r="U130" s="10"/>
      <c r="V130" s="10"/>
    </row>
    <row r="131" spans="1:22" ht="12.75" customHeight="1" x14ac:dyDescent="0.2">
      <c r="A131" s="1"/>
      <c r="B131" s="249"/>
      <c r="D131" s="254"/>
      <c r="E131" s="254"/>
      <c r="F131" s="251"/>
      <c r="G131" s="229"/>
      <c r="H131" s="229"/>
      <c r="I131" s="251"/>
      <c r="J131" s="251"/>
      <c r="K131" s="251"/>
      <c r="L131" s="229"/>
      <c r="M131" s="252"/>
      <c r="N131" s="252"/>
      <c r="O131" s="229"/>
      <c r="P131" s="34"/>
      <c r="Q131" s="601"/>
      <c r="R131" s="60"/>
      <c r="S131" s="60"/>
      <c r="T131" s="10"/>
      <c r="U131" s="10"/>
      <c r="V131" s="10"/>
    </row>
    <row r="132" spans="1:22" ht="12.75" customHeight="1" x14ac:dyDescent="0.2">
      <c r="A132" s="1"/>
      <c r="B132" s="249"/>
      <c r="C132" s="249"/>
      <c r="D132" s="254"/>
      <c r="E132" s="254"/>
      <c r="F132" s="251"/>
      <c r="G132" s="229"/>
      <c r="H132" s="229"/>
      <c r="I132" s="251"/>
      <c r="J132" s="251"/>
      <c r="K132" s="251"/>
      <c r="L132" s="229"/>
      <c r="M132" s="252"/>
      <c r="N132" s="252"/>
      <c r="O132" s="229"/>
      <c r="P132" s="34"/>
      <c r="Q132" s="572"/>
      <c r="R132" s="60"/>
      <c r="S132" s="60"/>
      <c r="T132" s="10"/>
      <c r="U132" s="10"/>
      <c r="V132" s="10"/>
    </row>
    <row r="133" spans="1:22" ht="12.75" customHeight="1" x14ac:dyDescent="0.2">
      <c r="A133" s="1"/>
      <c r="B133" s="249"/>
      <c r="C133" s="249"/>
      <c r="D133" s="254"/>
      <c r="E133" s="254"/>
      <c r="F133" s="251"/>
      <c r="G133" s="229"/>
      <c r="H133" s="229"/>
      <c r="I133" s="251"/>
      <c r="J133" s="251"/>
      <c r="K133" s="251"/>
      <c r="L133" s="229"/>
      <c r="M133" s="252"/>
      <c r="N133" s="252"/>
      <c r="O133" s="224"/>
      <c r="P133" s="34"/>
      <c r="Q133" s="572"/>
      <c r="R133" s="60"/>
      <c r="S133" s="60"/>
      <c r="T133" s="10"/>
      <c r="U133" s="10"/>
      <c r="V133" s="10"/>
    </row>
    <row r="134" spans="1:22" ht="12.75" customHeight="1" x14ac:dyDescent="0.2">
      <c r="A134" s="1"/>
      <c r="B134" s="23"/>
      <c r="C134" s="23"/>
      <c r="D134" s="254"/>
      <c r="E134" s="254"/>
      <c r="F134" s="251"/>
      <c r="G134" s="229"/>
      <c r="H134" s="229"/>
      <c r="I134" s="251"/>
      <c r="J134" s="251"/>
      <c r="K134" s="251"/>
      <c r="L134" s="229"/>
      <c r="M134" s="252"/>
      <c r="N134" s="252"/>
      <c r="O134" s="229"/>
      <c r="P134" s="34"/>
      <c r="Q134" s="60"/>
      <c r="R134" s="60"/>
      <c r="S134" s="60"/>
      <c r="T134" s="10"/>
      <c r="U134" s="10"/>
      <c r="V134" s="10"/>
    </row>
    <row r="135" spans="1:22" ht="12.75" customHeight="1" x14ac:dyDescent="0.2">
      <c r="A135" s="2"/>
      <c r="B135" s="249"/>
      <c r="C135" s="249"/>
      <c r="D135" s="254"/>
      <c r="E135" s="254"/>
      <c r="F135" s="251"/>
      <c r="G135" s="229"/>
      <c r="H135" s="229"/>
      <c r="I135" s="251"/>
      <c r="J135" s="251"/>
      <c r="K135" s="251"/>
      <c r="L135" s="229"/>
      <c r="M135" s="252"/>
      <c r="N135" s="252"/>
      <c r="O135" s="229"/>
      <c r="P135" s="1"/>
      <c r="Q135" s="33"/>
      <c r="R135" s="60"/>
      <c r="S135" s="60"/>
      <c r="T135" s="10"/>
      <c r="U135" s="10"/>
      <c r="V135" s="10"/>
    </row>
    <row r="136" spans="1:22" ht="12.75" customHeight="1" x14ac:dyDescent="0.2">
      <c r="A136" s="2"/>
      <c r="B136" s="464"/>
      <c r="C136" s="249"/>
      <c r="D136" s="254"/>
      <c r="E136" s="254"/>
      <c r="F136" s="251"/>
      <c r="G136" s="229"/>
      <c r="H136" s="229"/>
      <c r="I136" s="251"/>
      <c r="J136" s="251"/>
      <c r="K136" s="251"/>
      <c r="L136" s="229"/>
      <c r="M136" s="252"/>
      <c r="N136" s="252"/>
      <c r="O136" s="1"/>
      <c r="P136" s="1"/>
      <c r="Q136" s="33"/>
      <c r="R136" s="34"/>
    </row>
    <row r="137" spans="1:22" ht="12.75" customHeight="1" x14ac:dyDescent="0.2">
      <c r="A137" s="20"/>
      <c r="B137" s="464"/>
      <c r="C137" s="249"/>
      <c r="D137" s="254"/>
      <c r="E137" s="254"/>
      <c r="F137" s="251"/>
      <c r="G137" s="229"/>
      <c r="H137" s="229"/>
      <c r="I137" s="251"/>
      <c r="J137" s="251"/>
      <c r="K137" s="251"/>
      <c r="L137" s="229"/>
      <c r="M137" s="252"/>
      <c r="N137" s="252"/>
      <c r="O137" s="20"/>
      <c r="P137" s="1"/>
      <c r="Q137" s="33"/>
      <c r="R137" s="34"/>
    </row>
    <row r="138" spans="1:22" x14ac:dyDescent="0.2">
      <c r="A138" s="20"/>
      <c r="B138" s="2"/>
      <c r="C138" s="19"/>
      <c r="D138" s="19"/>
      <c r="E138" s="19"/>
      <c r="F138" s="19"/>
      <c r="G138" s="19"/>
      <c r="H138" s="19"/>
      <c r="I138" s="19"/>
      <c r="J138" s="19"/>
      <c r="K138" s="630"/>
      <c r="L138" s="22"/>
      <c r="M138" s="2"/>
      <c r="N138" s="19"/>
      <c r="O138" s="22"/>
      <c r="P138" s="1"/>
      <c r="Q138" s="34"/>
      <c r="R138" s="34"/>
    </row>
    <row r="139" spans="1:22" x14ac:dyDescent="0.2">
      <c r="A139" s="2"/>
      <c r="B139" s="464"/>
      <c r="C139" s="249"/>
      <c r="D139" s="254"/>
      <c r="E139" s="254"/>
      <c r="F139" s="251"/>
      <c r="G139" s="229"/>
      <c r="H139" s="229"/>
      <c r="I139" s="251"/>
      <c r="J139" s="251"/>
      <c r="K139" s="251"/>
      <c r="L139" s="229"/>
      <c r="M139" s="252"/>
      <c r="N139" s="252"/>
      <c r="O139" s="1"/>
      <c r="P139" s="1"/>
      <c r="Q139" s="602"/>
      <c r="R139" s="34"/>
    </row>
    <row r="140" spans="1:22" x14ac:dyDescent="0.2">
      <c r="A140" s="2"/>
      <c r="B140" s="283"/>
      <c r="C140" s="283"/>
      <c r="D140" s="254"/>
      <c r="E140" s="254"/>
      <c r="F140" s="251"/>
      <c r="G140" s="229"/>
      <c r="H140" s="229"/>
      <c r="I140" s="251"/>
      <c r="J140" s="251"/>
      <c r="K140" s="251"/>
      <c r="L140" s="229"/>
      <c r="M140" s="252"/>
      <c r="N140" s="252"/>
      <c r="O140" s="1"/>
      <c r="P140" s="1"/>
      <c r="Q140" s="602"/>
      <c r="R140" s="34"/>
    </row>
    <row r="141" spans="1:22" x14ac:dyDescent="0.2">
      <c r="A141" s="2"/>
      <c r="B141" s="249"/>
      <c r="C141" s="249"/>
      <c r="D141" s="254"/>
      <c r="E141" s="254"/>
      <c r="F141" s="251"/>
      <c r="G141" s="229"/>
      <c r="H141" s="229"/>
      <c r="I141" s="251"/>
      <c r="J141" s="251"/>
      <c r="K141" s="251"/>
      <c r="L141" s="229"/>
      <c r="M141" s="252"/>
      <c r="N141" s="252"/>
      <c r="O141" s="1"/>
      <c r="P141" s="1"/>
      <c r="Q141" s="602"/>
      <c r="R141" s="34"/>
    </row>
    <row r="142" spans="1:22" x14ac:dyDescent="0.2">
      <c r="A142" s="2"/>
      <c r="B142" s="249"/>
      <c r="C142" s="249"/>
      <c r="D142" s="254"/>
      <c r="E142" s="254"/>
      <c r="F142" s="251"/>
      <c r="G142" s="229"/>
      <c r="H142" s="229"/>
      <c r="I142" s="251"/>
      <c r="J142" s="555"/>
      <c r="K142" s="251"/>
      <c r="L142" s="229"/>
      <c r="M142" s="252"/>
      <c r="N142" s="252"/>
      <c r="O142" s="1"/>
      <c r="P142" s="1"/>
      <c r="Q142" s="33"/>
      <c r="R142" s="34"/>
    </row>
    <row r="143" spans="1:22" x14ac:dyDescent="0.2">
      <c r="A143" s="2"/>
      <c r="B143" s="2"/>
      <c r="C143" s="2"/>
      <c r="D143" s="2"/>
      <c r="E143" s="2"/>
      <c r="F143" s="2"/>
      <c r="G143" s="2"/>
      <c r="H143" s="2"/>
      <c r="I143" s="2"/>
      <c r="J143" s="2"/>
      <c r="K143" s="2"/>
      <c r="L143" s="2"/>
      <c r="M143" s="2"/>
      <c r="N143" s="2"/>
      <c r="O143" s="1"/>
      <c r="P143" s="1"/>
      <c r="Q143" s="34"/>
    </row>
    <row r="144" spans="1:22" x14ac:dyDescent="0.2">
      <c r="A144" s="2"/>
      <c r="B144" s="2"/>
      <c r="C144" s="2"/>
      <c r="D144" s="2"/>
      <c r="E144" s="2"/>
      <c r="F144" s="2"/>
      <c r="G144" s="2"/>
      <c r="H144" s="2"/>
      <c r="I144" s="2"/>
      <c r="J144" s="2"/>
      <c r="K144" s="2"/>
      <c r="L144" s="2"/>
      <c r="M144" s="2"/>
      <c r="N144" s="2"/>
      <c r="O144" s="1"/>
      <c r="P144" s="1"/>
      <c r="Q144" s="602"/>
    </row>
    <row r="145" spans="1:17" x14ac:dyDescent="0.2">
      <c r="A145" s="1"/>
      <c r="B145" s="1"/>
      <c r="C145" s="1"/>
      <c r="D145" s="1"/>
      <c r="E145" s="1"/>
      <c r="F145" s="1"/>
      <c r="G145" s="1"/>
      <c r="H145" s="1"/>
      <c r="I145" s="1"/>
      <c r="J145" s="1"/>
      <c r="K145" s="1"/>
      <c r="L145" s="1"/>
      <c r="M145" s="1"/>
      <c r="N145" s="1"/>
      <c r="O145" s="1"/>
      <c r="P145" s="1"/>
      <c r="Q145" s="602"/>
    </row>
    <row r="146" spans="1:17" x14ac:dyDescent="0.2">
      <c r="A146" s="1"/>
      <c r="B146" s="1"/>
      <c r="C146" s="1"/>
      <c r="D146" s="1"/>
      <c r="E146" s="1"/>
      <c r="F146" s="1"/>
      <c r="G146" s="1"/>
      <c r="H146" s="1"/>
      <c r="I146" s="1"/>
      <c r="J146" s="1"/>
      <c r="K146" s="1"/>
      <c r="L146" s="1"/>
      <c r="M146" s="1"/>
      <c r="N146" s="1"/>
      <c r="O146" s="1"/>
      <c r="P146" s="1"/>
      <c r="Q146" s="33"/>
    </row>
    <row r="147" spans="1:17" x14ac:dyDescent="0.2">
      <c r="A147" s="1"/>
      <c r="B147" s="1"/>
      <c r="C147" s="1"/>
      <c r="D147" s="1"/>
      <c r="E147" s="1"/>
      <c r="F147" s="1"/>
      <c r="G147" s="1"/>
      <c r="H147" s="1"/>
      <c r="I147" s="1"/>
      <c r="J147" s="1"/>
      <c r="K147" s="1"/>
      <c r="L147" s="1"/>
      <c r="M147" s="1"/>
      <c r="N147" s="1"/>
      <c r="O147" s="1"/>
      <c r="P147" s="1"/>
      <c r="Q147" s="33"/>
    </row>
    <row r="148" spans="1:17" x14ac:dyDescent="0.2">
      <c r="A148" s="1"/>
      <c r="B148" s="1"/>
      <c r="C148" s="1"/>
      <c r="D148" s="1"/>
      <c r="E148" s="1"/>
      <c r="F148" s="1"/>
      <c r="G148" s="1"/>
      <c r="H148" s="1"/>
      <c r="I148" s="1"/>
      <c r="J148" s="1"/>
      <c r="K148" s="1"/>
      <c r="L148" s="1"/>
      <c r="M148" s="1"/>
      <c r="N148" s="1"/>
      <c r="O148" s="1"/>
      <c r="P148" s="1"/>
      <c r="Q148" s="34"/>
    </row>
    <row r="149" spans="1:17" x14ac:dyDescent="0.2">
      <c r="A149" s="1"/>
      <c r="B149" s="1"/>
      <c r="C149" s="1"/>
      <c r="D149" s="1"/>
      <c r="E149" s="1"/>
      <c r="F149" s="1"/>
      <c r="G149" s="1"/>
      <c r="H149" s="1"/>
      <c r="I149" s="1"/>
      <c r="J149" s="1"/>
      <c r="K149" s="1"/>
      <c r="L149" s="1"/>
      <c r="M149" s="1"/>
      <c r="N149" s="1"/>
      <c r="O149" s="1"/>
      <c r="P149" s="1"/>
      <c r="Q149" s="602"/>
    </row>
    <row r="150" spans="1:17" x14ac:dyDescent="0.2">
      <c r="A150" s="1"/>
      <c r="B150" s="1"/>
      <c r="C150" s="1"/>
      <c r="D150" s="1"/>
      <c r="E150" s="1"/>
      <c r="F150" s="1"/>
      <c r="G150" s="1"/>
      <c r="H150" s="1"/>
      <c r="I150" s="1"/>
      <c r="J150" s="1"/>
      <c r="K150" s="1"/>
      <c r="L150" s="1"/>
      <c r="M150" s="1"/>
      <c r="N150" s="1"/>
      <c r="O150" s="1"/>
      <c r="P150" s="1"/>
      <c r="Q150" s="602"/>
    </row>
    <row r="151" spans="1:17" x14ac:dyDescent="0.2">
      <c r="A151" s="1"/>
      <c r="B151" s="1"/>
      <c r="C151" s="1"/>
      <c r="D151" s="1"/>
      <c r="E151" s="1"/>
      <c r="F151" s="1"/>
      <c r="G151" s="1"/>
      <c r="H151" s="1"/>
      <c r="I151" s="1"/>
      <c r="J151" s="1"/>
      <c r="K151" s="1"/>
      <c r="L151" s="1"/>
      <c r="M151" s="1"/>
      <c r="N151" s="1"/>
      <c r="O151" s="1"/>
      <c r="P151" s="1"/>
      <c r="Q151" s="33"/>
    </row>
    <row r="152" spans="1:17" x14ac:dyDescent="0.2">
      <c r="A152" s="1"/>
      <c r="B152" s="1"/>
      <c r="C152" s="1"/>
      <c r="D152" s="1"/>
      <c r="E152" s="1"/>
      <c r="F152" s="1"/>
      <c r="G152" s="1"/>
      <c r="H152" s="1"/>
      <c r="I152" s="1"/>
      <c r="J152" s="1"/>
      <c r="K152" s="1"/>
      <c r="L152" s="1"/>
      <c r="M152" s="1"/>
      <c r="N152" s="1"/>
      <c r="O152" s="1"/>
      <c r="P152" s="1"/>
      <c r="Q152" s="33"/>
    </row>
    <row r="153" spans="1:17" x14ac:dyDescent="0.2">
      <c r="A153" s="1"/>
      <c r="B153" s="1"/>
      <c r="C153" s="1"/>
      <c r="D153" s="1"/>
      <c r="E153" s="1"/>
      <c r="F153" s="1"/>
      <c r="G153" s="1"/>
      <c r="H153" s="1"/>
      <c r="I153" s="1"/>
      <c r="J153" s="1"/>
      <c r="K153" s="1"/>
      <c r="L153" s="1"/>
      <c r="M153" s="1"/>
      <c r="N153" s="1"/>
      <c r="O153" s="1"/>
      <c r="P153" s="1"/>
      <c r="Q153" s="33"/>
    </row>
    <row r="154" spans="1:17" x14ac:dyDescent="0.2">
      <c r="A154" s="1"/>
      <c r="B154" s="1"/>
      <c r="C154" s="1"/>
      <c r="D154" s="1"/>
      <c r="E154" s="1"/>
      <c r="F154" s="1"/>
      <c r="G154" s="1"/>
      <c r="H154" s="1"/>
      <c r="I154" s="1"/>
      <c r="J154" s="1"/>
      <c r="K154" s="1"/>
      <c r="L154" s="1"/>
      <c r="M154" s="1"/>
      <c r="N154" s="1"/>
      <c r="O154" s="1"/>
      <c r="P154" s="1"/>
      <c r="Q154" s="33"/>
    </row>
    <row r="155" spans="1:17" x14ac:dyDescent="0.2">
      <c r="A155" s="1"/>
      <c r="B155" s="1"/>
      <c r="C155" s="1"/>
      <c r="D155" s="1"/>
      <c r="E155" s="1"/>
      <c r="F155" s="1"/>
      <c r="G155" s="1"/>
      <c r="H155" s="1"/>
      <c r="I155" s="1"/>
      <c r="J155" s="1"/>
      <c r="K155" s="1"/>
      <c r="L155" s="1"/>
      <c r="M155" s="1"/>
      <c r="N155" s="1"/>
      <c r="O155" s="1"/>
      <c r="P155" s="1"/>
      <c r="Q155" s="33"/>
    </row>
    <row r="156" spans="1:17" x14ac:dyDescent="0.2">
      <c r="A156" s="1"/>
      <c r="B156" s="1"/>
      <c r="C156" s="1"/>
      <c r="D156" s="1"/>
      <c r="E156" s="1"/>
      <c r="F156" s="1"/>
      <c r="G156" s="1"/>
      <c r="H156" s="1"/>
      <c r="I156" s="1"/>
      <c r="J156" s="1"/>
      <c r="K156" s="1"/>
      <c r="L156" s="1"/>
      <c r="M156" s="1"/>
      <c r="N156" s="1"/>
      <c r="O156" s="1"/>
      <c r="P156" s="1"/>
      <c r="Q156" s="33"/>
    </row>
    <row r="157" spans="1:17" x14ac:dyDescent="0.2">
      <c r="A157" s="1"/>
      <c r="B157" s="1"/>
      <c r="C157" s="1"/>
      <c r="D157" s="1"/>
      <c r="E157" s="1"/>
      <c r="F157" s="1"/>
      <c r="G157" s="1"/>
      <c r="H157" s="1"/>
      <c r="I157" s="1"/>
      <c r="J157" s="1"/>
      <c r="K157" s="1"/>
      <c r="L157" s="1"/>
      <c r="M157" s="1"/>
      <c r="N157" s="1"/>
      <c r="O157" s="1"/>
      <c r="P157" s="1"/>
      <c r="Q157" s="33"/>
    </row>
    <row r="158" spans="1:17" x14ac:dyDescent="0.2">
      <c r="A158" s="1"/>
      <c r="B158" s="1"/>
      <c r="C158" s="1"/>
      <c r="D158" s="1"/>
      <c r="E158" s="1"/>
      <c r="F158" s="1"/>
      <c r="G158" s="1"/>
      <c r="H158" s="1"/>
      <c r="I158" s="1"/>
      <c r="J158" s="1"/>
      <c r="K158" s="1"/>
      <c r="L158" s="1"/>
      <c r="M158" s="1"/>
      <c r="N158" s="1"/>
      <c r="O158" s="1"/>
      <c r="P158" s="1"/>
      <c r="Q158" s="34"/>
    </row>
    <row r="159" spans="1:17" x14ac:dyDescent="0.2">
      <c r="A159" s="1"/>
      <c r="B159" s="1"/>
      <c r="C159" s="1"/>
      <c r="D159" s="1"/>
      <c r="E159" s="1"/>
      <c r="F159" s="1"/>
      <c r="G159" s="1"/>
      <c r="H159" s="1"/>
      <c r="I159" s="1"/>
      <c r="J159" s="1"/>
      <c r="K159" s="1"/>
      <c r="L159" s="1"/>
      <c r="M159" s="1"/>
      <c r="N159" s="1"/>
      <c r="O159" s="1"/>
      <c r="P159" s="1"/>
      <c r="Q159" s="602"/>
    </row>
    <row r="160" spans="1:17" x14ac:dyDescent="0.2">
      <c r="A160" s="1"/>
      <c r="B160" s="1"/>
      <c r="C160" s="1"/>
      <c r="D160" s="1"/>
      <c r="E160" s="1"/>
      <c r="F160" s="1"/>
      <c r="G160" s="1"/>
      <c r="H160" s="1"/>
      <c r="I160" s="1"/>
      <c r="J160" s="1"/>
      <c r="K160" s="1"/>
      <c r="L160" s="1"/>
      <c r="M160" s="1"/>
      <c r="N160" s="1"/>
      <c r="O160" s="1"/>
      <c r="P160" s="1"/>
      <c r="Q160" s="33"/>
    </row>
    <row r="161" spans="1:17" x14ac:dyDescent="0.2">
      <c r="A161" s="1"/>
      <c r="B161" s="1"/>
      <c r="C161" s="1"/>
      <c r="D161" s="1"/>
      <c r="E161" s="1"/>
      <c r="F161" s="1"/>
      <c r="G161" s="1"/>
      <c r="H161" s="1"/>
      <c r="I161" s="1"/>
      <c r="J161" s="1"/>
      <c r="K161" s="1"/>
      <c r="L161" s="1"/>
      <c r="M161" s="1"/>
      <c r="N161" s="1"/>
      <c r="O161" s="1"/>
      <c r="P161" s="1"/>
      <c r="Q161" s="34"/>
    </row>
    <row r="162" spans="1:17" x14ac:dyDescent="0.2">
      <c r="A162" s="1"/>
      <c r="B162" s="1"/>
      <c r="C162" s="1"/>
      <c r="D162" s="1"/>
      <c r="E162" s="1"/>
      <c r="F162" s="1"/>
      <c r="G162" s="1"/>
      <c r="H162" s="1"/>
      <c r="I162" s="1"/>
      <c r="J162" s="1"/>
      <c r="K162" s="1"/>
      <c r="L162" s="1"/>
      <c r="M162" s="1"/>
      <c r="N162" s="1"/>
      <c r="O162" s="1"/>
      <c r="P162" s="1"/>
      <c r="Q162" s="33"/>
    </row>
    <row r="163" spans="1:17" x14ac:dyDescent="0.2">
      <c r="A163" s="1"/>
      <c r="B163" s="1"/>
      <c r="C163" s="1"/>
      <c r="D163" s="1"/>
      <c r="E163" s="1"/>
      <c r="F163" s="1"/>
      <c r="G163" s="1"/>
      <c r="H163" s="1"/>
      <c r="I163" s="1"/>
      <c r="J163" s="1"/>
      <c r="K163" s="1"/>
      <c r="L163" s="1"/>
      <c r="M163" s="1"/>
      <c r="N163" s="1"/>
      <c r="O163" s="1"/>
      <c r="P163" s="1"/>
      <c r="Q163" s="33"/>
    </row>
    <row r="164" spans="1:17" x14ac:dyDescent="0.2">
      <c r="A164" s="1"/>
      <c r="B164" s="1"/>
      <c r="C164" s="1"/>
      <c r="D164" s="1"/>
      <c r="E164" s="1"/>
      <c r="F164" s="1"/>
      <c r="G164" s="1"/>
      <c r="H164" s="1"/>
      <c r="I164" s="1"/>
      <c r="J164" s="1"/>
      <c r="K164" s="1"/>
      <c r="L164" s="1"/>
      <c r="M164" s="1"/>
      <c r="N164" s="1"/>
      <c r="O164" s="1"/>
      <c r="P164" s="1"/>
      <c r="Q164" s="34"/>
    </row>
    <row r="165" spans="1:17" x14ac:dyDescent="0.2">
      <c r="A165" s="1"/>
      <c r="B165" s="1"/>
      <c r="C165" s="1"/>
      <c r="D165" s="1"/>
      <c r="E165" s="1"/>
      <c r="F165" s="1"/>
      <c r="G165" s="1"/>
      <c r="H165" s="1"/>
      <c r="I165" s="1"/>
      <c r="J165" s="1"/>
      <c r="K165" s="1"/>
      <c r="L165" s="1"/>
      <c r="M165" s="1"/>
      <c r="N165" s="1"/>
      <c r="O165" s="1"/>
      <c r="P165" s="1"/>
      <c r="Q165" s="602"/>
    </row>
    <row r="166" spans="1:17" x14ac:dyDescent="0.2">
      <c r="A166" s="1"/>
      <c r="B166" s="1"/>
      <c r="C166" s="1"/>
      <c r="D166" s="1"/>
      <c r="E166" s="1"/>
      <c r="F166" s="1"/>
      <c r="G166" s="1"/>
      <c r="H166" s="1"/>
      <c r="I166" s="1"/>
      <c r="J166" s="1"/>
      <c r="K166" s="1"/>
      <c r="L166" s="1"/>
      <c r="M166" s="1"/>
      <c r="N166" s="1"/>
      <c r="O166" s="1"/>
      <c r="P166" s="1"/>
      <c r="Q166" s="602"/>
    </row>
    <row r="167" spans="1:17" x14ac:dyDescent="0.2">
      <c r="A167" s="1"/>
      <c r="B167" s="1"/>
      <c r="C167" s="1"/>
      <c r="D167" s="1"/>
      <c r="E167" s="1"/>
      <c r="F167" s="1"/>
      <c r="G167" s="1"/>
      <c r="H167" s="1"/>
      <c r="I167" s="1"/>
      <c r="J167" s="1"/>
      <c r="K167" s="1"/>
      <c r="L167" s="1"/>
      <c r="M167" s="1"/>
      <c r="N167" s="1"/>
      <c r="O167" s="1"/>
      <c r="P167" s="1"/>
      <c r="Q167" s="602"/>
    </row>
    <row r="168" spans="1:17" x14ac:dyDescent="0.2">
      <c r="A168" s="1"/>
      <c r="B168" s="1"/>
      <c r="C168" s="1"/>
      <c r="D168" s="1"/>
      <c r="E168" s="1"/>
      <c r="F168" s="1"/>
      <c r="G168" s="1"/>
      <c r="H168" s="1"/>
      <c r="I168" s="1"/>
      <c r="J168" s="1"/>
      <c r="K168" s="1"/>
      <c r="L168" s="1"/>
      <c r="M168" s="1"/>
      <c r="N168" s="1"/>
      <c r="O168" s="1"/>
      <c r="P168" s="1"/>
      <c r="Q168" s="602"/>
    </row>
    <row r="169" spans="1:17" x14ac:dyDescent="0.2">
      <c r="A169" s="1"/>
      <c r="B169" s="1"/>
      <c r="C169" s="1"/>
      <c r="D169" s="1"/>
      <c r="E169" s="1"/>
      <c r="F169" s="1"/>
      <c r="G169" s="1"/>
      <c r="H169" s="1"/>
      <c r="I169" s="1"/>
      <c r="J169" s="1"/>
      <c r="K169" s="1"/>
      <c r="L169" s="1"/>
      <c r="M169" s="1"/>
      <c r="N169" s="1"/>
      <c r="O169" s="1"/>
      <c r="P169" s="1"/>
      <c r="Q169" s="33"/>
    </row>
    <row r="170" spans="1:17" x14ac:dyDescent="0.2">
      <c r="A170" s="1"/>
      <c r="B170" s="1"/>
      <c r="C170" s="1"/>
      <c r="D170" s="1"/>
      <c r="E170" s="1"/>
      <c r="F170" s="1"/>
      <c r="G170" s="1"/>
      <c r="H170" s="1"/>
      <c r="I170" s="1"/>
      <c r="J170" s="1"/>
      <c r="K170" s="1"/>
      <c r="L170" s="1"/>
      <c r="M170" s="1"/>
      <c r="N170" s="1"/>
      <c r="O170" s="1"/>
      <c r="P170" s="1"/>
      <c r="Q170" s="33"/>
    </row>
    <row r="171" spans="1:17" x14ac:dyDescent="0.2">
      <c r="A171" s="1"/>
      <c r="B171" s="1"/>
      <c r="C171" s="1"/>
      <c r="D171" s="1"/>
      <c r="E171" s="1"/>
      <c r="F171" s="1"/>
      <c r="G171" s="1"/>
      <c r="H171" s="1"/>
      <c r="I171" s="1"/>
      <c r="J171" s="1"/>
      <c r="K171" s="1"/>
      <c r="L171" s="1"/>
      <c r="M171" s="1"/>
      <c r="N171" s="1"/>
      <c r="O171" s="1"/>
      <c r="P171" s="1"/>
      <c r="Q171" s="34"/>
    </row>
    <row r="172" spans="1:17" x14ac:dyDescent="0.2">
      <c r="A172" s="1"/>
      <c r="B172" s="1"/>
      <c r="C172" s="1"/>
      <c r="D172" s="1"/>
      <c r="E172" s="1"/>
      <c r="F172" s="1"/>
      <c r="G172" s="1"/>
      <c r="H172" s="1"/>
      <c r="I172" s="1"/>
      <c r="J172" s="1"/>
      <c r="K172" s="1"/>
      <c r="L172" s="1"/>
      <c r="M172" s="1"/>
      <c r="N172" s="1"/>
      <c r="O172" s="1"/>
      <c r="P172" s="1"/>
      <c r="Q172" s="33"/>
    </row>
    <row r="173" spans="1:17" x14ac:dyDescent="0.2">
      <c r="A173" s="1"/>
      <c r="B173" s="1"/>
      <c r="C173" s="1"/>
      <c r="D173" s="1"/>
      <c r="E173" s="1"/>
      <c r="F173" s="1"/>
      <c r="G173" s="1"/>
      <c r="H173" s="1"/>
      <c r="I173" s="1"/>
      <c r="J173" s="1"/>
      <c r="K173" s="1"/>
      <c r="L173" s="1"/>
      <c r="M173" s="1"/>
      <c r="N173" s="1"/>
      <c r="O173" s="1"/>
      <c r="P173" s="1"/>
      <c r="Q173" s="34"/>
    </row>
    <row r="174" spans="1:17" x14ac:dyDescent="0.2">
      <c r="A174" s="1"/>
      <c r="B174" s="1"/>
      <c r="C174" s="1"/>
      <c r="D174" s="1"/>
      <c r="E174" s="1"/>
      <c r="F174" s="1"/>
      <c r="G174" s="1"/>
      <c r="H174" s="1"/>
      <c r="I174" s="1"/>
      <c r="J174" s="1"/>
      <c r="K174" s="1"/>
      <c r="L174" s="1"/>
      <c r="M174" s="1"/>
      <c r="N174" s="1"/>
      <c r="O174" s="1"/>
      <c r="P174" s="1"/>
      <c r="Q174" s="602"/>
    </row>
    <row r="175" spans="1:17" x14ac:dyDescent="0.2">
      <c r="A175" s="1"/>
      <c r="B175" s="1"/>
      <c r="C175" s="1"/>
      <c r="D175" s="1"/>
      <c r="E175" s="1"/>
      <c r="F175" s="1"/>
      <c r="G175" s="1"/>
      <c r="H175" s="1"/>
      <c r="I175" s="1"/>
      <c r="J175" s="1"/>
      <c r="K175" s="1"/>
      <c r="L175" s="1"/>
      <c r="M175" s="1"/>
      <c r="N175" s="1"/>
      <c r="O175" s="1"/>
      <c r="P175" s="1"/>
      <c r="Q175" s="33"/>
    </row>
    <row r="176" spans="1:17" x14ac:dyDescent="0.2">
      <c r="A176" s="1"/>
      <c r="B176" s="1"/>
      <c r="C176" s="1"/>
      <c r="D176" s="1"/>
      <c r="E176" s="1"/>
      <c r="F176" s="1"/>
      <c r="G176" s="1"/>
      <c r="H176" s="1"/>
      <c r="I176" s="1"/>
      <c r="J176" s="1"/>
      <c r="K176" s="1"/>
      <c r="L176" s="1"/>
      <c r="M176" s="1"/>
      <c r="N176" s="1"/>
      <c r="O176" s="1"/>
      <c r="P176" s="1"/>
      <c r="Q176" s="34"/>
    </row>
    <row r="177" spans="1:17" x14ac:dyDescent="0.2">
      <c r="A177" s="1"/>
      <c r="B177" s="1"/>
      <c r="C177" s="1"/>
      <c r="D177" s="1"/>
      <c r="E177" s="1"/>
      <c r="F177" s="1"/>
      <c r="G177" s="1"/>
      <c r="H177" s="1"/>
      <c r="I177" s="1"/>
      <c r="J177" s="1"/>
      <c r="K177" s="1"/>
      <c r="L177" s="1"/>
      <c r="M177" s="1"/>
      <c r="N177" s="1"/>
      <c r="O177" s="1"/>
      <c r="P177" s="1"/>
      <c r="Q177" s="602"/>
    </row>
    <row r="178" spans="1:17" x14ac:dyDescent="0.2">
      <c r="A178" s="1"/>
      <c r="B178" s="1"/>
      <c r="C178" s="1"/>
      <c r="D178" s="1"/>
      <c r="E178" s="1"/>
      <c r="F178" s="1"/>
      <c r="G178" s="1"/>
      <c r="H178" s="1"/>
      <c r="I178" s="1"/>
      <c r="J178" s="1"/>
      <c r="K178" s="1"/>
      <c r="L178" s="1"/>
      <c r="M178" s="1"/>
      <c r="N178" s="1"/>
      <c r="O178" s="1"/>
      <c r="P178" s="1"/>
      <c r="Q178" s="602"/>
    </row>
    <row r="179" spans="1:17" x14ac:dyDescent="0.2">
      <c r="A179" s="3"/>
      <c r="C179" s="25"/>
      <c r="D179" s="25"/>
      <c r="E179" s="25"/>
      <c r="F179" s="25"/>
      <c r="G179" s="4"/>
      <c r="H179" s="25"/>
      <c r="I179" s="25"/>
      <c r="J179" s="25"/>
      <c r="K179" s="4"/>
      <c r="L179" s="4"/>
      <c r="N179" s="4"/>
      <c r="Q179" s="603"/>
    </row>
  </sheetData>
  <mergeCells count="35">
    <mergeCell ref="B29:C29"/>
    <mergeCell ref="B64:C64"/>
    <mergeCell ref="B55:C55"/>
    <mergeCell ref="F47:N47"/>
    <mergeCell ref="F38:N38"/>
    <mergeCell ref="F63:N63"/>
    <mergeCell ref="F64:N64"/>
    <mergeCell ref="B63:C63"/>
    <mergeCell ref="B62:C62"/>
    <mergeCell ref="F39:N39"/>
    <mergeCell ref="F102:N102"/>
    <mergeCell ref="F82:N82"/>
    <mergeCell ref="F101:N101"/>
    <mergeCell ref="F80:N80"/>
    <mergeCell ref="F76:N76"/>
    <mergeCell ref="F81:N81"/>
    <mergeCell ref="F48:N48"/>
    <mergeCell ref="F55:N55"/>
    <mergeCell ref="F62:N62"/>
    <mergeCell ref="B73:C73"/>
    <mergeCell ref="B72:C72"/>
    <mergeCell ref="F73:N73"/>
    <mergeCell ref="F72:N72"/>
    <mergeCell ref="B74:C74"/>
    <mergeCell ref="B82:C82"/>
    <mergeCell ref="F74:N74"/>
    <mergeCell ref="B87:C87"/>
    <mergeCell ref="F87:N87"/>
    <mergeCell ref="B81:C81"/>
    <mergeCell ref="B86:C86"/>
    <mergeCell ref="F86:N86"/>
    <mergeCell ref="B76:C76"/>
    <mergeCell ref="B80:C80"/>
    <mergeCell ref="B75:C75"/>
    <mergeCell ref="F75:N75"/>
  </mergeCells>
  <phoneticPr fontId="9" type="noConversion"/>
  <hyperlinks>
    <hyperlink ref="F110" location="'УПРы к US800 и УПР к Энконт(3)'!R1C1" display="ПОДРОБНЕЕ О ЦЕНАХ НА УПР И ДАТЧИКИ ПЭП"/>
    <hyperlink ref="F110:I110" location="'УПР_и_ДАТЧИКИ ПЭП'!R1C1" display="ПОДРОБНЕЕ О ЦЕНАХ НА УПР И ДАТЧИКИ ПЭП"/>
  </hyperlinks>
  <pageMargins left="0.70866141732283472" right="0.35433070866141736" top="0.74803149606299213" bottom="0.59055118110236227" header="0.39370078740157483" footer="0.51181102362204722"/>
  <pageSetup paperSize="9" scale="54" fitToHeight="3" orientation="portrait" verticalDpi="1200" r:id="rId1"/>
  <headerFooter alignWithMargins="0"/>
  <rowBreaks count="2" manualBreakCount="2">
    <brk id="66" max="12" man="1"/>
    <brk id="124"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05"/>
  <sheetViews>
    <sheetView zoomScaleNormal="100" workbookViewId="0"/>
  </sheetViews>
  <sheetFormatPr defaultRowHeight="12.75" x14ac:dyDescent="0.2"/>
  <cols>
    <col min="1" max="1" width="10.28515625" customWidth="1"/>
    <col min="2" max="2" width="34.7109375" customWidth="1"/>
    <col min="3" max="3" width="11" customWidth="1"/>
    <col min="4" max="4" width="9.42578125" customWidth="1"/>
    <col min="5" max="5" width="17.7109375" customWidth="1"/>
    <col min="6" max="6" width="15" customWidth="1"/>
    <col min="7" max="7" width="9.5703125" customWidth="1"/>
    <col min="8" max="8" width="17" customWidth="1"/>
    <col min="9" max="9" width="9.28515625" customWidth="1"/>
    <col min="10" max="10" width="5.7109375" customWidth="1"/>
    <col min="11" max="11" width="14.5703125" customWidth="1"/>
    <col min="13" max="13" width="5.140625" customWidth="1"/>
  </cols>
  <sheetData>
    <row r="1" spans="1:24" x14ac:dyDescent="0.2">
      <c r="A1" s="1740"/>
      <c r="B1" s="1740"/>
      <c r="C1" s="1740"/>
      <c r="D1" s="1740"/>
      <c r="E1" s="1740"/>
      <c r="F1" s="1740"/>
      <c r="G1" s="1740"/>
      <c r="H1" s="1740"/>
      <c r="I1" s="1740"/>
      <c r="J1" s="1740"/>
      <c r="K1" s="1740"/>
      <c r="L1" s="1740"/>
      <c r="M1" s="1740"/>
      <c r="N1" s="1758"/>
      <c r="O1" s="1758"/>
      <c r="P1" s="1683"/>
      <c r="Q1" s="1683"/>
      <c r="R1" s="1683"/>
      <c r="S1" s="1683"/>
      <c r="T1" s="1683"/>
      <c r="U1" s="1683"/>
      <c r="V1" s="1683"/>
      <c r="W1" s="1661"/>
      <c r="X1" s="1661"/>
    </row>
    <row r="2" spans="1:24" x14ac:dyDescent="0.2">
      <c r="A2" s="1741"/>
      <c r="B2" s="1742" t="s">
        <v>1200</v>
      </c>
      <c r="C2" s="1741"/>
      <c r="D2" s="1740"/>
      <c r="E2" s="1743" t="s">
        <v>1201</v>
      </c>
      <c r="F2" s="1741"/>
      <c r="G2" s="1741"/>
      <c r="H2" s="1742" t="s">
        <v>1302</v>
      </c>
      <c r="I2" s="1741"/>
      <c r="J2" s="1742"/>
      <c r="K2" s="1742" t="s">
        <v>918</v>
      </c>
      <c r="L2" s="1740"/>
      <c r="M2" s="1740"/>
      <c r="N2" s="1742" t="s">
        <v>1019</v>
      </c>
      <c r="O2" s="1740"/>
      <c r="P2" s="1683"/>
      <c r="Q2" s="1683"/>
      <c r="R2" s="1683"/>
      <c r="S2" s="1683"/>
      <c r="T2" s="1683"/>
      <c r="U2" s="1683"/>
      <c r="V2" s="1683"/>
      <c r="W2" s="1661"/>
      <c r="X2" s="1661"/>
    </row>
    <row r="3" spans="1:24" x14ac:dyDescent="0.2">
      <c r="A3" s="1744"/>
      <c r="B3" s="1744" t="s">
        <v>423</v>
      </c>
      <c r="C3" s="1744">
        <v>19600</v>
      </c>
      <c r="D3" s="1740"/>
      <c r="E3" s="1744" t="s">
        <v>437</v>
      </c>
      <c r="F3" s="1744">
        <v>42000</v>
      </c>
      <c r="G3" s="1745"/>
      <c r="H3" s="1744" t="s">
        <v>919</v>
      </c>
      <c r="I3" s="1744">
        <v>2100</v>
      </c>
      <c r="J3" s="1745"/>
      <c r="K3" s="1744" t="s">
        <v>920</v>
      </c>
      <c r="L3" s="1744">
        <v>1400</v>
      </c>
      <c r="M3" s="1740"/>
      <c r="N3" s="1744" t="s">
        <v>1020</v>
      </c>
      <c r="O3" s="1744">
        <v>14000</v>
      </c>
      <c r="P3" s="1683"/>
      <c r="Q3" s="1683"/>
      <c r="R3" s="1683"/>
      <c r="S3" s="1683"/>
      <c r="T3" s="1683"/>
      <c r="U3" s="1683"/>
      <c r="V3" s="1683"/>
      <c r="W3" s="1661"/>
      <c r="X3" s="1661"/>
    </row>
    <row r="4" spans="1:24" x14ac:dyDescent="0.2">
      <c r="A4" s="1744"/>
      <c r="B4" s="1744" t="s">
        <v>424</v>
      </c>
      <c r="C4" s="1744">
        <v>21000</v>
      </c>
      <c r="D4" s="1740"/>
      <c r="E4" s="1744" t="s">
        <v>438</v>
      </c>
      <c r="F4" s="1744">
        <v>54600</v>
      </c>
      <c r="G4" s="1745"/>
      <c r="H4" s="1744" t="s">
        <v>921</v>
      </c>
      <c r="I4" s="1744">
        <v>2520</v>
      </c>
      <c r="J4" s="1745"/>
      <c r="K4" s="1744" t="s">
        <v>922</v>
      </c>
      <c r="L4" s="1744">
        <v>1400</v>
      </c>
      <c r="M4" s="1740"/>
      <c r="N4" s="1744" t="s">
        <v>1021</v>
      </c>
      <c r="O4" s="1744">
        <v>17500</v>
      </c>
      <c r="P4" s="1683"/>
      <c r="Q4" s="1683"/>
      <c r="R4" s="1683"/>
      <c r="S4" s="1683"/>
      <c r="T4" s="1683"/>
      <c r="U4" s="1683"/>
      <c r="V4" s="1683"/>
      <c r="W4" s="1661"/>
      <c r="X4" s="1661"/>
    </row>
    <row r="5" spans="1:24" x14ac:dyDescent="0.2">
      <c r="A5" s="1744"/>
      <c r="B5" s="1744" t="s">
        <v>425</v>
      </c>
      <c r="C5" s="1744">
        <v>21000</v>
      </c>
      <c r="D5" s="1740"/>
      <c r="E5" s="1744" t="s">
        <v>439</v>
      </c>
      <c r="F5" s="1744">
        <v>56000</v>
      </c>
      <c r="G5" s="1745"/>
      <c r="H5" s="1744" t="s">
        <v>923</v>
      </c>
      <c r="I5" s="1744">
        <v>2800</v>
      </c>
      <c r="J5" s="1745"/>
      <c r="K5" s="1744" t="s">
        <v>1247</v>
      </c>
      <c r="L5" s="1744">
        <v>1400</v>
      </c>
      <c r="M5" s="1740"/>
      <c r="N5" s="1744" t="s">
        <v>1022</v>
      </c>
      <c r="O5" s="1744">
        <v>10500</v>
      </c>
      <c r="P5" s="1683"/>
      <c r="Q5" s="1683"/>
      <c r="R5" s="1683"/>
      <c r="S5" s="1683"/>
      <c r="T5" s="1683"/>
      <c r="U5" s="1683"/>
      <c r="V5" s="1683"/>
      <c r="W5" s="1661"/>
      <c r="X5" s="1661"/>
    </row>
    <row r="6" spans="1:24" x14ac:dyDescent="0.2">
      <c r="A6" s="1744"/>
      <c r="B6" s="1744" t="s">
        <v>426</v>
      </c>
      <c r="C6" s="1744">
        <v>23800</v>
      </c>
      <c r="D6" s="1740"/>
      <c r="E6" s="1744" t="s">
        <v>440</v>
      </c>
      <c r="F6" s="1744">
        <v>58800</v>
      </c>
      <c r="G6" s="1745"/>
      <c r="H6" s="1744" t="s">
        <v>1248</v>
      </c>
      <c r="I6" s="1744">
        <v>2800</v>
      </c>
      <c r="J6" s="1745"/>
      <c r="K6" s="1744" t="s">
        <v>1249</v>
      </c>
      <c r="L6" s="1744">
        <v>1400</v>
      </c>
      <c r="M6" s="1740"/>
      <c r="N6" s="1744" t="s">
        <v>1023</v>
      </c>
      <c r="O6" s="1744">
        <v>10500</v>
      </c>
      <c r="P6" s="1683"/>
      <c r="Q6" s="1683"/>
      <c r="R6" s="1683"/>
      <c r="S6" s="1683"/>
      <c r="T6" s="1683"/>
      <c r="U6" s="1683"/>
      <c r="V6" s="1683"/>
      <c r="W6" s="1661"/>
      <c r="X6" s="1661"/>
    </row>
    <row r="7" spans="1:24" x14ac:dyDescent="0.2">
      <c r="A7" s="1744"/>
      <c r="B7" s="1744" t="s">
        <v>427</v>
      </c>
      <c r="C7" s="1744">
        <v>16800</v>
      </c>
      <c r="D7" s="1740"/>
      <c r="E7" s="1744" t="s">
        <v>441</v>
      </c>
      <c r="F7" s="1744">
        <v>84000</v>
      </c>
      <c r="G7" s="1745"/>
      <c r="H7" s="1744" t="s">
        <v>1250</v>
      </c>
      <c r="I7" s="1744">
        <v>3500</v>
      </c>
      <c r="J7" s="1745"/>
      <c r="K7" s="1744" t="s">
        <v>1251</v>
      </c>
      <c r="L7" s="1744">
        <v>1400</v>
      </c>
      <c r="M7" s="1740"/>
      <c r="N7" s="1744" t="s">
        <v>1024</v>
      </c>
      <c r="O7" s="1744">
        <v>14000</v>
      </c>
      <c r="P7" s="1683"/>
      <c r="Q7" s="1683"/>
      <c r="R7" s="1683"/>
      <c r="S7" s="1683"/>
      <c r="T7" s="1683"/>
      <c r="U7" s="1683"/>
      <c r="V7" s="1683"/>
      <c r="W7" s="1661"/>
      <c r="X7" s="1661"/>
    </row>
    <row r="8" spans="1:24" x14ac:dyDescent="0.2">
      <c r="A8" s="1744"/>
      <c r="B8" s="1744" t="s">
        <v>428</v>
      </c>
      <c r="C8" s="1744">
        <v>16800</v>
      </c>
      <c r="D8" s="1740"/>
      <c r="E8" s="1744" t="s">
        <v>442</v>
      </c>
      <c r="F8" s="1744">
        <v>119000</v>
      </c>
      <c r="G8" s="1745"/>
      <c r="H8" s="1744" t="s">
        <v>1252</v>
      </c>
      <c r="I8" s="1744">
        <v>3920</v>
      </c>
      <c r="J8" s="1745"/>
      <c r="K8" s="1744" t="s">
        <v>1253</v>
      </c>
      <c r="L8" s="1744">
        <v>1400</v>
      </c>
      <c r="M8" s="1740"/>
      <c r="N8" s="1744" t="s">
        <v>1025</v>
      </c>
      <c r="O8" s="1744">
        <v>21000</v>
      </c>
      <c r="P8" s="1683"/>
      <c r="Q8" s="1683"/>
      <c r="R8" s="1683"/>
      <c r="S8" s="1683"/>
      <c r="T8" s="1683"/>
      <c r="U8" s="1683"/>
      <c r="V8" s="1683"/>
      <c r="W8" s="1661"/>
      <c r="X8" s="1661"/>
    </row>
    <row r="9" spans="1:24" x14ac:dyDescent="0.2">
      <c r="A9" s="1744"/>
      <c r="B9" s="1744" t="s">
        <v>429</v>
      </c>
      <c r="C9" s="1744">
        <v>21000</v>
      </c>
      <c r="D9" s="1740"/>
      <c r="E9" s="1744" t="s">
        <v>443</v>
      </c>
      <c r="F9" s="1744">
        <v>262500</v>
      </c>
      <c r="G9" s="1745"/>
      <c r="H9" s="1744" t="s">
        <v>1254</v>
      </c>
      <c r="I9" s="1744">
        <v>3920</v>
      </c>
      <c r="J9" s="1745"/>
      <c r="K9" s="1744" t="s">
        <v>1255</v>
      </c>
      <c r="L9" s="1744">
        <v>1400</v>
      </c>
      <c r="M9" s="1740"/>
      <c r="N9" s="1744" t="s">
        <v>1026</v>
      </c>
      <c r="O9" s="1744">
        <v>21000</v>
      </c>
      <c r="P9" s="1683"/>
      <c r="Q9" s="1683"/>
      <c r="R9" s="1683"/>
      <c r="S9" s="1683"/>
      <c r="T9" s="1683"/>
      <c r="U9" s="1683"/>
      <c r="V9" s="1683"/>
      <c r="W9" s="1661"/>
      <c r="X9" s="1661"/>
    </row>
    <row r="10" spans="1:24" x14ac:dyDescent="0.2">
      <c r="A10" s="1744"/>
      <c r="B10" s="1744" t="s">
        <v>430</v>
      </c>
      <c r="C10" s="1744">
        <v>28000</v>
      </c>
      <c r="D10" s="1740"/>
      <c r="E10" s="1744" t="s">
        <v>444</v>
      </c>
      <c r="F10" s="1744">
        <v>332500</v>
      </c>
      <c r="G10" s="1745"/>
      <c r="H10" s="1744" t="s">
        <v>1256</v>
      </c>
      <c r="I10" s="1744">
        <v>4620</v>
      </c>
      <c r="J10" s="1745"/>
      <c r="K10" s="1744" t="s">
        <v>1257</v>
      </c>
      <c r="L10" s="1744">
        <v>2100</v>
      </c>
      <c r="M10" s="1740"/>
      <c r="N10" s="1744" t="s">
        <v>1027</v>
      </c>
      <c r="O10" s="1744">
        <v>28000</v>
      </c>
      <c r="P10" s="1683"/>
      <c r="Q10" s="1683"/>
      <c r="R10" s="1683"/>
      <c r="S10" s="1683"/>
      <c r="T10" s="1683"/>
      <c r="U10" s="1683"/>
      <c r="V10" s="1683"/>
      <c r="W10" s="1661"/>
      <c r="X10" s="1661"/>
    </row>
    <row r="11" spans="1:24" x14ac:dyDescent="0.2">
      <c r="A11" s="1744"/>
      <c r="B11" s="1744" t="s">
        <v>431</v>
      </c>
      <c r="C11" s="1744">
        <v>28000</v>
      </c>
      <c r="D11" s="1740"/>
      <c r="E11" s="1744" t="s">
        <v>1292</v>
      </c>
      <c r="F11" s="1744">
        <v>65520</v>
      </c>
      <c r="G11" s="1745"/>
      <c r="H11" s="1744" t="s">
        <v>1258</v>
      </c>
      <c r="I11" s="1744">
        <v>7000</v>
      </c>
      <c r="J11" s="1745"/>
      <c r="K11" s="1744" t="s">
        <v>1259</v>
      </c>
      <c r="L11" s="1744">
        <v>2100</v>
      </c>
      <c r="M11" s="1740"/>
      <c r="N11" s="1744" t="s">
        <v>1028</v>
      </c>
      <c r="O11" s="1744">
        <v>29820</v>
      </c>
      <c r="P11" s="1683"/>
      <c r="Q11" s="1683"/>
      <c r="R11" s="1683"/>
      <c r="S11" s="1683"/>
      <c r="T11" s="1683"/>
      <c r="U11" s="1683"/>
      <c r="V11" s="1683"/>
      <c r="W11" s="1661"/>
      <c r="X11" s="1661"/>
    </row>
    <row r="12" spans="1:24" x14ac:dyDescent="0.2">
      <c r="A12" s="1744"/>
      <c r="B12" s="1744" t="s">
        <v>432</v>
      </c>
      <c r="C12" s="1744">
        <v>33600</v>
      </c>
      <c r="D12" s="1740"/>
      <c r="E12" s="1744" t="s">
        <v>1293</v>
      </c>
      <c r="F12" s="1744">
        <v>71400</v>
      </c>
      <c r="G12" s="1745"/>
      <c r="H12" s="1744" t="s">
        <v>1260</v>
      </c>
      <c r="I12" s="1744">
        <v>12320</v>
      </c>
      <c r="J12" s="1745"/>
      <c r="K12" s="1744" t="s">
        <v>1262</v>
      </c>
      <c r="L12" s="1744">
        <v>2100</v>
      </c>
      <c r="M12" s="1740"/>
      <c r="N12" s="1744" t="s">
        <v>1029</v>
      </c>
      <c r="O12" s="1744">
        <v>31500</v>
      </c>
      <c r="P12" s="1683"/>
      <c r="Q12" s="1683"/>
      <c r="R12" s="1683"/>
      <c r="S12" s="1683"/>
      <c r="T12" s="1683"/>
      <c r="U12" s="1683"/>
      <c r="V12" s="1683"/>
      <c r="W12" s="1661"/>
      <c r="X12" s="1661"/>
    </row>
    <row r="13" spans="1:24" x14ac:dyDescent="0.2">
      <c r="A13" s="1744"/>
      <c r="B13" s="1744" t="s">
        <v>433</v>
      </c>
      <c r="C13" s="1744">
        <v>49000</v>
      </c>
      <c r="D13" s="1740"/>
      <c r="E13" s="1744" t="s">
        <v>1294</v>
      </c>
      <c r="F13" s="1744">
        <v>119000</v>
      </c>
      <c r="G13" s="1745"/>
      <c r="H13" s="1744" t="s">
        <v>1263</v>
      </c>
      <c r="I13" s="1744">
        <v>17500</v>
      </c>
      <c r="J13" s="1745"/>
      <c r="K13" s="1744" t="s">
        <v>1264</v>
      </c>
      <c r="L13" s="1744">
        <v>2800</v>
      </c>
      <c r="M13" s="1740"/>
      <c r="N13" s="1744" t="s">
        <v>1030</v>
      </c>
      <c r="O13" s="1744">
        <v>43820</v>
      </c>
      <c r="P13" s="1683"/>
      <c r="Q13" s="1683"/>
      <c r="R13" s="1683"/>
      <c r="S13" s="1683"/>
      <c r="T13" s="1683"/>
      <c r="U13" s="1683"/>
      <c r="V13" s="1683"/>
      <c r="W13" s="1661"/>
      <c r="X13" s="1661"/>
    </row>
    <row r="14" spans="1:24" x14ac:dyDescent="0.2">
      <c r="A14" s="1744"/>
      <c r="B14" s="1744" t="s">
        <v>434</v>
      </c>
      <c r="C14" s="1744">
        <v>70000</v>
      </c>
      <c r="D14" s="1740"/>
      <c r="E14" s="1744" t="s">
        <v>1295</v>
      </c>
      <c r="F14" s="1744">
        <v>133000</v>
      </c>
      <c r="G14" s="1745"/>
      <c r="H14" s="1744" t="s">
        <v>1265</v>
      </c>
      <c r="I14" s="1744">
        <v>21000</v>
      </c>
      <c r="J14" s="1745"/>
      <c r="K14" s="1744" t="s">
        <v>1266</v>
      </c>
      <c r="L14" s="1744">
        <v>2800</v>
      </c>
      <c r="M14" s="1740"/>
      <c r="N14" s="1744" t="s">
        <v>1031</v>
      </c>
      <c r="O14" s="1744">
        <v>52500</v>
      </c>
      <c r="P14" s="1683"/>
      <c r="Q14" s="1683"/>
      <c r="R14" s="1683"/>
      <c r="S14" s="1683"/>
      <c r="T14" s="1683"/>
      <c r="U14" s="1683"/>
      <c r="V14" s="1683"/>
      <c r="W14" s="1661"/>
      <c r="X14" s="1661"/>
    </row>
    <row r="15" spans="1:24" x14ac:dyDescent="0.2">
      <c r="A15" s="1744"/>
      <c r="B15" s="1744" t="s">
        <v>435</v>
      </c>
      <c r="C15" s="1744">
        <v>175000</v>
      </c>
      <c r="D15" s="1740"/>
      <c r="E15" s="1744" t="s">
        <v>1296</v>
      </c>
      <c r="F15" s="1744">
        <v>168000</v>
      </c>
      <c r="G15" s="1745"/>
      <c r="H15" s="1744" t="s">
        <v>1267</v>
      </c>
      <c r="I15" s="1744">
        <v>26320</v>
      </c>
      <c r="J15" s="1745"/>
      <c r="K15" s="1744" t="s">
        <v>1268</v>
      </c>
      <c r="L15" s="1744">
        <v>2800</v>
      </c>
      <c r="M15" s="1740"/>
      <c r="N15" s="1744" t="s">
        <v>1032</v>
      </c>
      <c r="O15" s="1744">
        <v>61320</v>
      </c>
      <c r="P15" s="1683"/>
      <c r="Q15" s="1683"/>
      <c r="R15" s="1683"/>
      <c r="S15" s="1683"/>
      <c r="T15" s="1683"/>
      <c r="U15" s="1683"/>
      <c r="V15" s="1683"/>
      <c r="W15" s="1661"/>
      <c r="X15" s="1661"/>
    </row>
    <row r="16" spans="1:24" x14ac:dyDescent="0.2">
      <c r="A16" s="1744"/>
      <c r="B16" s="1744" t="s">
        <v>436</v>
      </c>
      <c r="C16" s="1744">
        <v>210000</v>
      </c>
      <c r="D16" s="1740"/>
      <c r="E16" s="1744" t="s">
        <v>1297</v>
      </c>
      <c r="F16" s="1744">
        <v>182000</v>
      </c>
      <c r="G16" s="1745"/>
      <c r="H16" s="1744" t="s">
        <v>1269</v>
      </c>
      <c r="I16" s="1744">
        <v>31500</v>
      </c>
      <c r="J16" s="1745"/>
      <c r="K16" s="1744" t="s">
        <v>1270</v>
      </c>
      <c r="L16" s="1744">
        <v>4200</v>
      </c>
      <c r="M16" s="1740"/>
      <c r="N16" s="1744" t="s">
        <v>1033</v>
      </c>
      <c r="O16" s="1744">
        <v>78820</v>
      </c>
      <c r="P16" s="1683"/>
      <c r="Q16" s="1683"/>
      <c r="R16" s="1683"/>
      <c r="S16" s="1683"/>
      <c r="T16" s="1683"/>
      <c r="U16" s="1683"/>
      <c r="V16" s="1683"/>
      <c r="W16" s="1661"/>
      <c r="X16" s="1661"/>
    </row>
    <row r="17" spans="1:24" x14ac:dyDescent="0.2">
      <c r="A17" s="1744"/>
      <c r="B17" s="1744" t="s">
        <v>474</v>
      </c>
      <c r="C17" s="1744">
        <v>38500</v>
      </c>
      <c r="D17" s="1740"/>
      <c r="E17" s="1744" t="s">
        <v>1298</v>
      </c>
      <c r="F17" s="1744">
        <v>280000</v>
      </c>
      <c r="G17" s="1745"/>
      <c r="H17" s="1744" t="s">
        <v>1271</v>
      </c>
      <c r="I17" s="1744">
        <v>43820</v>
      </c>
      <c r="J17" s="1745"/>
      <c r="K17" s="1744" t="s">
        <v>1272</v>
      </c>
      <c r="L17" s="1744">
        <v>4200</v>
      </c>
      <c r="M17" s="1740"/>
      <c r="N17" s="1744" t="s">
        <v>1034</v>
      </c>
      <c r="O17" s="1744">
        <v>122500</v>
      </c>
      <c r="P17" s="1683"/>
      <c r="Q17" s="1683"/>
      <c r="R17" s="1683"/>
      <c r="S17" s="1683"/>
      <c r="T17" s="1683"/>
      <c r="U17" s="1683"/>
      <c r="V17" s="1683"/>
      <c r="W17" s="1661"/>
      <c r="X17" s="1661"/>
    </row>
    <row r="18" spans="1:24" x14ac:dyDescent="0.2">
      <c r="A18" s="1744"/>
      <c r="B18" s="1744" t="s">
        <v>475</v>
      </c>
      <c r="C18" s="1744">
        <v>42000</v>
      </c>
      <c r="D18" s="1740"/>
      <c r="E18" s="1744" t="s">
        <v>419</v>
      </c>
      <c r="F18" s="1744">
        <v>350000</v>
      </c>
      <c r="G18" s="1745"/>
      <c r="H18" s="1744" t="s">
        <v>1273</v>
      </c>
      <c r="I18" s="1744">
        <v>70000</v>
      </c>
      <c r="J18" s="1745"/>
      <c r="K18" s="1744" t="s">
        <v>1274</v>
      </c>
      <c r="L18" s="1744">
        <v>4200</v>
      </c>
      <c r="M18" s="1740"/>
      <c r="N18" s="1744" t="s">
        <v>1035</v>
      </c>
      <c r="O18" s="1744">
        <v>175000</v>
      </c>
      <c r="P18" s="1683"/>
      <c r="Q18" s="1683"/>
      <c r="R18" s="1683"/>
      <c r="S18" s="1683"/>
      <c r="T18" s="1683"/>
      <c r="U18" s="1683"/>
      <c r="V18" s="1683"/>
      <c r="W18" s="1661"/>
      <c r="X18" s="1661"/>
    </row>
    <row r="19" spans="1:24" x14ac:dyDescent="0.2">
      <c r="A19" s="1744"/>
      <c r="B19" s="1744" t="s">
        <v>476</v>
      </c>
      <c r="C19" s="1744">
        <v>70000</v>
      </c>
      <c r="D19" s="1740"/>
      <c r="E19" s="1744" t="s">
        <v>420</v>
      </c>
      <c r="F19" s="1744">
        <v>420000</v>
      </c>
      <c r="G19" s="1745"/>
      <c r="H19" s="1744" t="s">
        <v>1275</v>
      </c>
      <c r="I19" s="1744">
        <v>87500</v>
      </c>
      <c r="J19" s="1745"/>
      <c r="K19" s="1744" t="s">
        <v>351</v>
      </c>
      <c r="L19" s="1744">
        <v>5600</v>
      </c>
      <c r="M19" s="1740"/>
      <c r="N19" s="1744" t="s">
        <v>1036</v>
      </c>
      <c r="O19" s="1744">
        <v>210000</v>
      </c>
      <c r="P19" s="1683"/>
      <c r="Q19" s="1683"/>
      <c r="R19" s="1683"/>
      <c r="S19" s="1683"/>
      <c r="T19" s="1683"/>
      <c r="U19" s="1683"/>
      <c r="V19" s="1683"/>
      <c r="W19" s="1661"/>
      <c r="X19" s="1661"/>
    </row>
    <row r="20" spans="1:24" x14ac:dyDescent="0.2">
      <c r="A20" s="1744"/>
      <c r="B20" s="1744" t="s">
        <v>477</v>
      </c>
      <c r="C20" s="1744">
        <v>78820</v>
      </c>
      <c r="D20" s="1740"/>
      <c r="E20" s="1744" t="s">
        <v>421</v>
      </c>
      <c r="F20" s="1744">
        <v>462000</v>
      </c>
      <c r="G20" s="1745"/>
      <c r="H20" s="1744" t="s">
        <v>352</v>
      </c>
      <c r="I20" s="1744">
        <v>122500</v>
      </c>
      <c r="J20" s="1745"/>
      <c r="K20" s="1744" t="s">
        <v>353</v>
      </c>
      <c r="L20" s="1744">
        <v>5600</v>
      </c>
      <c r="M20" s="1740"/>
      <c r="N20" s="1744" t="s">
        <v>1037</v>
      </c>
      <c r="O20" s="1744">
        <v>245000</v>
      </c>
      <c r="P20" s="1683"/>
      <c r="Q20" s="1683"/>
      <c r="R20" s="1683"/>
      <c r="S20" s="1683"/>
      <c r="T20" s="1683"/>
      <c r="U20" s="1683"/>
      <c r="V20" s="1683"/>
      <c r="W20" s="1661"/>
      <c r="X20" s="1661"/>
    </row>
    <row r="21" spans="1:24" x14ac:dyDescent="0.2">
      <c r="A21" s="1744"/>
      <c r="B21" s="1744" t="s">
        <v>478</v>
      </c>
      <c r="C21" s="1744">
        <v>96320</v>
      </c>
      <c r="D21" s="1740"/>
      <c r="E21" s="1744" t="s">
        <v>422</v>
      </c>
      <c r="F21" s="1744">
        <v>630000</v>
      </c>
      <c r="G21" s="1745"/>
      <c r="H21" s="1744" t="s">
        <v>354</v>
      </c>
      <c r="I21" s="1744">
        <v>168000</v>
      </c>
      <c r="J21" s="1745"/>
      <c r="K21" s="1744" t="s">
        <v>1168</v>
      </c>
      <c r="L21" s="1744">
        <v>5600</v>
      </c>
      <c r="M21" s="1740"/>
      <c r="N21" s="1744" t="s">
        <v>1038</v>
      </c>
      <c r="O21" s="1744">
        <v>350000</v>
      </c>
      <c r="P21" s="1683"/>
      <c r="Q21" s="1683"/>
      <c r="R21" s="1683"/>
      <c r="S21" s="1683"/>
      <c r="T21" s="1683"/>
      <c r="U21" s="1683"/>
      <c r="V21" s="1683"/>
      <c r="W21" s="1661"/>
      <c r="X21" s="1661"/>
    </row>
    <row r="22" spans="1:24" x14ac:dyDescent="0.2">
      <c r="A22" s="1744"/>
      <c r="B22" s="1744" t="s">
        <v>479</v>
      </c>
      <c r="C22" s="1744">
        <v>122500</v>
      </c>
      <c r="D22" s="1740"/>
      <c r="E22" s="1744" t="s">
        <v>445</v>
      </c>
      <c r="F22" s="1744">
        <v>735000</v>
      </c>
      <c r="G22" s="1745"/>
      <c r="H22" s="1744" t="s">
        <v>1169</v>
      </c>
      <c r="I22" s="1744">
        <v>192500</v>
      </c>
      <c r="J22" s="1745"/>
      <c r="K22" s="1744" t="s">
        <v>1170</v>
      </c>
      <c r="L22" s="1744">
        <v>7000</v>
      </c>
      <c r="M22" s="1740"/>
      <c r="N22" s="1744" t="s">
        <v>1039</v>
      </c>
      <c r="O22" s="1744">
        <v>472500</v>
      </c>
      <c r="P22" s="1683"/>
      <c r="Q22" s="1683"/>
      <c r="R22" s="1683"/>
      <c r="S22" s="1683"/>
      <c r="T22" s="1683"/>
      <c r="U22" s="1683"/>
      <c r="V22" s="1683"/>
      <c r="W22" s="1661"/>
      <c r="X22" s="1661"/>
    </row>
    <row r="23" spans="1:24" x14ac:dyDescent="0.2">
      <c r="A23" s="1744"/>
      <c r="B23" s="1744" t="s">
        <v>480</v>
      </c>
      <c r="C23" s="1744">
        <v>175000</v>
      </c>
      <c r="D23" s="1740"/>
      <c r="E23" s="1744" t="s">
        <v>446</v>
      </c>
      <c r="F23" s="1744" t="s">
        <v>1098</v>
      </c>
      <c r="G23" s="1745"/>
      <c r="H23" s="1744" t="s">
        <v>1171</v>
      </c>
      <c r="I23" s="1744" t="s">
        <v>1098</v>
      </c>
      <c r="J23" s="1745"/>
      <c r="K23" s="1744" t="s">
        <v>1172</v>
      </c>
      <c r="L23" s="1744">
        <v>7000</v>
      </c>
      <c r="M23" s="1740"/>
      <c r="N23" s="1744" t="s">
        <v>1040</v>
      </c>
      <c r="O23" s="1744" t="s">
        <v>1203</v>
      </c>
      <c r="P23" s="1683"/>
      <c r="Q23" s="1683"/>
      <c r="R23" s="1683"/>
      <c r="S23" s="1683"/>
      <c r="T23" s="1683"/>
      <c r="U23" s="1683"/>
      <c r="V23" s="1683"/>
      <c r="W23" s="1661"/>
      <c r="X23" s="1661"/>
    </row>
    <row r="24" spans="1:24" x14ac:dyDescent="0.2">
      <c r="A24" s="1744"/>
      <c r="B24" s="1744" t="s">
        <v>481</v>
      </c>
      <c r="C24" s="1744">
        <v>245000</v>
      </c>
      <c r="D24" s="1740"/>
      <c r="E24" s="1744" t="s">
        <v>447</v>
      </c>
      <c r="F24" s="1744" t="s">
        <v>1098</v>
      </c>
      <c r="G24" s="1745"/>
      <c r="H24" s="1744" t="s">
        <v>1173</v>
      </c>
      <c r="I24" s="1744" t="s">
        <v>1098</v>
      </c>
      <c r="J24" s="1745"/>
      <c r="K24" s="1744" t="s">
        <v>1174</v>
      </c>
      <c r="L24" s="1744">
        <v>7000</v>
      </c>
      <c r="M24" s="1740"/>
      <c r="N24" s="1744" t="s">
        <v>1041</v>
      </c>
      <c r="O24" s="1744" t="s">
        <v>1203</v>
      </c>
      <c r="P24" s="1683"/>
      <c r="Q24" s="1683"/>
      <c r="R24" s="1683"/>
      <c r="S24" s="1683"/>
      <c r="T24" s="1683"/>
      <c r="U24" s="1683"/>
      <c r="V24" s="1683"/>
      <c r="W24" s="1661"/>
      <c r="X24" s="1661"/>
    </row>
    <row r="25" spans="1:24" x14ac:dyDescent="0.2">
      <c r="A25" s="1744"/>
      <c r="B25" s="1744" t="s">
        <v>482</v>
      </c>
      <c r="C25" s="1744">
        <v>280000</v>
      </c>
      <c r="D25" s="1740"/>
      <c r="E25" s="1744" t="s">
        <v>1348</v>
      </c>
      <c r="F25" s="1744">
        <v>44800</v>
      </c>
      <c r="G25" s="1745"/>
      <c r="H25" s="1744"/>
      <c r="I25" s="1745"/>
      <c r="J25" s="1745"/>
      <c r="K25" s="1744"/>
      <c r="L25" s="1745"/>
      <c r="M25" s="1740"/>
      <c r="N25" s="1756"/>
      <c r="O25" s="1756"/>
      <c r="P25" s="1683"/>
      <c r="Q25" s="1683"/>
      <c r="R25" s="1683"/>
      <c r="S25" s="1683"/>
      <c r="T25" s="1683"/>
      <c r="U25" s="1683"/>
      <c r="V25" s="1683"/>
      <c r="W25" s="1661"/>
      <c r="X25" s="1661"/>
    </row>
    <row r="26" spans="1:24" ht="12.75" customHeight="1" x14ac:dyDescent="0.2">
      <c r="A26" s="1744"/>
      <c r="B26" s="1744" t="s">
        <v>483</v>
      </c>
      <c r="C26" s="1744">
        <v>315000</v>
      </c>
      <c r="D26" s="1740"/>
      <c r="E26" s="1744" t="s">
        <v>1349</v>
      </c>
      <c r="F26" s="1744">
        <v>53620</v>
      </c>
      <c r="G26" s="1745"/>
      <c r="H26" s="1742" t="s">
        <v>1175</v>
      </c>
      <c r="I26" s="1745"/>
      <c r="J26" s="1745"/>
      <c r="K26" s="1742" t="s">
        <v>1176</v>
      </c>
      <c r="L26" s="1745"/>
      <c r="M26" s="1740"/>
      <c r="N26" s="1756"/>
      <c r="O26" s="1756"/>
      <c r="P26" s="1683"/>
      <c r="Q26" s="1683"/>
      <c r="R26" s="1683"/>
      <c r="S26" s="1683"/>
      <c r="T26" s="1683"/>
      <c r="U26" s="1683"/>
      <c r="V26" s="1683"/>
      <c r="W26" s="1661"/>
      <c r="X26" s="1661"/>
    </row>
    <row r="27" spans="1:24" x14ac:dyDescent="0.2">
      <c r="A27" s="1744"/>
      <c r="B27" s="1744" t="s">
        <v>484</v>
      </c>
      <c r="C27" s="1744">
        <v>437500</v>
      </c>
      <c r="D27" s="1740"/>
      <c r="E27" s="1744" t="s">
        <v>1350</v>
      </c>
      <c r="F27" s="1744">
        <v>91000</v>
      </c>
      <c r="G27" s="1745"/>
      <c r="H27" s="1744" t="s">
        <v>1177</v>
      </c>
      <c r="I27" s="1749" t="s">
        <v>1406</v>
      </c>
      <c r="J27" s="1745"/>
      <c r="K27" s="1744" t="s">
        <v>1178</v>
      </c>
      <c r="L27" s="1745" t="s">
        <v>1238</v>
      </c>
      <c r="M27" s="1740"/>
      <c r="N27" s="1756"/>
      <c r="O27" s="1756"/>
      <c r="P27" s="1683"/>
      <c r="Q27" s="1683"/>
      <c r="R27" s="1683"/>
      <c r="S27" s="1683"/>
      <c r="T27" s="1683"/>
      <c r="U27" s="1683"/>
      <c r="V27" s="1683"/>
      <c r="W27" s="1661"/>
      <c r="X27" s="1661"/>
    </row>
    <row r="28" spans="1:24" x14ac:dyDescent="0.2">
      <c r="A28" s="1744"/>
      <c r="B28" s="1744" t="s">
        <v>485</v>
      </c>
      <c r="C28" s="1744">
        <v>560000</v>
      </c>
      <c r="D28" s="1740"/>
      <c r="E28" s="1744" t="s">
        <v>1351</v>
      </c>
      <c r="F28" s="1744">
        <v>100800</v>
      </c>
      <c r="G28" s="1745"/>
      <c r="H28" s="1744" t="s">
        <v>1179</v>
      </c>
      <c r="I28" s="1749" t="s">
        <v>1153</v>
      </c>
      <c r="J28" s="1745"/>
      <c r="K28" s="1744" t="s">
        <v>1180</v>
      </c>
      <c r="L28" s="1745" t="s">
        <v>1238</v>
      </c>
      <c r="M28" s="1740"/>
      <c r="N28" s="1756"/>
      <c r="O28" s="1756"/>
      <c r="P28" s="1683"/>
      <c r="Q28" s="1683"/>
      <c r="R28" s="1683"/>
      <c r="S28" s="1683"/>
      <c r="T28" s="1683"/>
      <c r="U28" s="1683"/>
      <c r="V28" s="1683"/>
      <c r="W28" s="1661"/>
      <c r="X28" s="1661"/>
    </row>
    <row r="29" spans="1:24" x14ac:dyDescent="0.2">
      <c r="A29" s="1744"/>
      <c r="B29" s="1744" t="s">
        <v>486</v>
      </c>
      <c r="C29" s="1744" t="s">
        <v>1098</v>
      </c>
      <c r="D29" s="1740"/>
      <c r="E29" s="1744" t="s">
        <v>1352</v>
      </c>
      <c r="F29" s="1744">
        <v>112000</v>
      </c>
      <c r="G29" s="1745"/>
      <c r="H29" s="1744" t="s">
        <v>1181</v>
      </c>
      <c r="I29" s="1749" t="s">
        <v>1407</v>
      </c>
      <c r="J29" s="1745"/>
      <c r="K29" s="1744" t="s">
        <v>1182</v>
      </c>
      <c r="L29" s="1745" t="s">
        <v>1404</v>
      </c>
      <c r="M29" s="1740"/>
      <c r="N29" s="1756"/>
      <c r="O29" s="1756"/>
      <c r="P29" s="1683"/>
      <c r="Q29" s="1683"/>
      <c r="R29" s="1683"/>
      <c r="S29" s="1683"/>
      <c r="T29" s="1683"/>
      <c r="U29" s="1683"/>
      <c r="V29" s="1683"/>
      <c r="W29" s="1661"/>
      <c r="X29" s="1661"/>
    </row>
    <row r="30" spans="1:24" x14ac:dyDescent="0.2">
      <c r="A30" s="1744"/>
      <c r="B30" s="1744" t="s">
        <v>1335</v>
      </c>
      <c r="C30" s="1744" t="s">
        <v>1098</v>
      </c>
      <c r="D30" s="1740"/>
      <c r="E30" s="1744" t="s">
        <v>1353</v>
      </c>
      <c r="F30" s="1744">
        <v>126000</v>
      </c>
      <c r="G30" s="1745"/>
      <c r="H30" s="1744" t="s">
        <v>1183</v>
      </c>
      <c r="I30" s="1749" t="s">
        <v>1235</v>
      </c>
      <c r="J30" s="1745"/>
      <c r="K30" s="1744" t="s">
        <v>1184</v>
      </c>
      <c r="L30" s="1745" t="s">
        <v>1404</v>
      </c>
      <c r="M30" s="1740"/>
      <c r="N30" s="1756"/>
      <c r="O30" s="1756"/>
      <c r="P30" s="1683"/>
      <c r="Q30" s="1683"/>
      <c r="R30" s="1683"/>
      <c r="S30" s="1683"/>
      <c r="T30" s="1683"/>
      <c r="U30" s="1683"/>
      <c r="V30" s="1683"/>
      <c r="W30" s="1661"/>
      <c r="X30" s="1661"/>
    </row>
    <row r="31" spans="1:24" x14ac:dyDescent="0.2">
      <c r="A31" s="1744"/>
      <c r="B31" s="1744" t="s">
        <v>1336</v>
      </c>
      <c r="C31" s="1744">
        <v>26600</v>
      </c>
      <c r="D31" s="1740"/>
      <c r="E31" s="1744" t="s">
        <v>1354</v>
      </c>
      <c r="F31" s="1744">
        <v>189000</v>
      </c>
      <c r="G31" s="1745"/>
      <c r="H31" s="1744" t="s">
        <v>1185</v>
      </c>
      <c r="I31" s="1749" t="s">
        <v>1239</v>
      </c>
      <c r="J31" s="1745"/>
      <c r="K31" s="1744" t="s">
        <v>1186</v>
      </c>
      <c r="L31" s="1745" t="s">
        <v>1239</v>
      </c>
      <c r="M31" s="1740"/>
      <c r="N31" s="1756"/>
      <c r="O31" s="1756"/>
      <c r="P31" s="1683"/>
      <c r="Q31" s="1683"/>
      <c r="R31" s="1683"/>
      <c r="S31" s="1683"/>
      <c r="T31" s="1683"/>
      <c r="U31" s="1683"/>
      <c r="V31" s="1683"/>
      <c r="W31" s="1661"/>
      <c r="X31" s="1661"/>
    </row>
    <row r="32" spans="1:24" x14ac:dyDescent="0.2">
      <c r="A32" s="1744"/>
      <c r="B32" s="1744" t="s">
        <v>1337</v>
      </c>
      <c r="C32" s="1744">
        <v>31500</v>
      </c>
      <c r="D32" s="1740"/>
      <c r="E32" s="1744" t="s">
        <v>1355</v>
      </c>
      <c r="F32" s="1744">
        <v>266000</v>
      </c>
      <c r="G32" s="1745"/>
      <c r="H32" s="1744" t="s">
        <v>1187</v>
      </c>
      <c r="I32" s="1749" t="s">
        <v>1235</v>
      </c>
      <c r="J32" s="1742"/>
      <c r="K32" s="1744" t="s">
        <v>1188</v>
      </c>
      <c r="L32" s="1745" t="s">
        <v>1239</v>
      </c>
      <c r="M32" s="1740"/>
      <c r="N32" s="1756"/>
      <c r="O32" s="1756"/>
      <c r="P32" s="1683"/>
      <c r="Q32" s="1683"/>
      <c r="R32" s="1683"/>
      <c r="S32" s="1683"/>
      <c r="T32" s="1683"/>
      <c r="U32" s="1683"/>
      <c r="V32" s="1683"/>
      <c r="W32" s="1661"/>
      <c r="X32" s="1661"/>
    </row>
    <row r="33" spans="1:24" x14ac:dyDescent="0.2">
      <c r="A33" s="1744"/>
      <c r="B33" s="1744" t="s">
        <v>1338</v>
      </c>
      <c r="C33" s="1744">
        <v>61320</v>
      </c>
      <c r="D33" s="1740"/>
      <c r="E33" s="1744" t="s">
        <v>1356</v>
      </c>
      <c r="F33" s="1744">
        <v>310800</v>
      </c>
      <c r="G33" s="1745"/>
      <c r="H33" s="1744" t="s">
        <v>1189</v>
      </c>
      <c r="I33" s="1749" t="s">
        <v>1239</v>
      </c>
      <c r="J33" s="1746"/>
      <c r="K33" s="1744" t="s">
        <v>1190</v>
      </c>
      <c r="L33" s="1745" t="s">
        <v>1236</v>
      </c>
      <c r="M33" s="1740"/>
      <c r="N33" s="1756"/>
      <c r="O33" s="1756"/>
      <c r="P33" s="1683"/>
      <c r="Q33" s="1683"/>
      <c r="R33" s="1683"/>
      <c r="S33" s="1683"/>
      <c r="T33" s="1683"/>
      <c r="U33" s="1683"/>
      <c r="V33" s="1683"/>
      <c r="W33" s="1661"/>
      <c r="X33" s="1661"/>
    </row>
    <row r="34" spans="1:24" x14ac:dyDescent="0.2">
      <c r="A34" s="1744"/>
      <c r="B34" s="1744" t="s">
        <v>1339</v>
      </c>
      <c r="C34" s="1744">
        <v>66500</v>
      </c>
      <c r="D34" s="1740"/>
      <c r="E34" s="1744" t="s">
        <v>1357</v>
      </c>
      <c r="F34" s="1744">
        <v>350000</v>
      </c>
      <c r="G34" s="1745"/>
      <c r="H34" s="1744" t="s">
        <v>1191</v>
      </c>
      <c r="I34" s="1749" t="s">
        <v>1098</v>
      </c>
      <c r="J34" s="1746"/>
      <c r="K34" s="1744" t="s">
        <v>1052</v>
      </c>
      <c r="L34" s="1745" t="s">
        <v>1236</v>
      </c>
      <c r="M34" s="1740"/>
      <c r="N34" s="1756"/>
      <c r="O34" s="1756"/>
      <c r="P34" s="1683"/>
      <c r="Q34" s="1683"/>
      <c r="R34" s="1683"/>
      <c r="S34" s="1683"/>
      <c r="T34" s="1683"/>
      <c r="U34" s="1683"/>
      <c r="V34" s="1683"/>
      <c r="W34" s="1661"/>
      <c r="X34" s="1661"/>
    </row>
    <row r="35" spans="1:24" x14ac:dyDescent="0.2">
      <c r="A35" s="1744"/>
      <c r="B35" s="1744" t="s">
        <v>1340</v>
      </c>
      <c r="C35" s="1744">
        <v>73500</v>
      </c>
      <c r="D35" s="1740"/>
      <c r="E35" s="1744" t="s">
        <v>1358</v>
      </c>
      <c r="F35" s="1744">
        <v>525000</v>
      </c>
      <c r="G35" s="1745"/>
      <c r="H35" s="1744" t="s">
        <v>1053</v>
      </c>
      <c r="I35" s="1749" t="s">
        <v>1098</v>
      </c>
      <c r="J35" s="1746"/>
      <c r="K35" s="1744" t="s">
        <v>1054</v>
      </c>
      <c r="L35" s="1745" t="s">
        <v>1239</v>
      </c>
      <c r="M35" s="1740"/>
      <c r="N35" s="1756"/>
      <c r="O35" s="1756"/>
      <c r="P35" s="1683"/>
      <c r="Q35" s="1683"/>
      <c r="R35" s="1683"/>
      <c r="S35" s="1683"/>
      <c r="T35" s="1683"/>
      <c r="U35" s="1683"/>
      <c r="V35" s="1683"/>
      <c r="W35" s="1661"/>
      <c r="X35" s="1661"/>
    </row>
    <row r="36" spans="1:24" x14ac:dyDescent="0.2">
      <c r="A36" s="1744"/>
      <c r="B36" s="1744" t="s">
        <v>1341</v>
      </c>
      <c r="C36" s="1744">
        <v>78820</v>
      </c>
      <c r="D36" s="1740"/>
      <c r="E36" s="1744" t="s">
        <v>1359</v>
      </c>
      <c r="F36" s="1744">
        <v>588000</v>
      </c>
      <c r="G36" s="1745"/>
      <c r="H36" s="1744" t="s">
        <v>1055</v>
      </c>
      <c r="I36" s="1749" t="s">
        <v>1404</v>
      </c>
      <c r="J36" s="1747"/>
      <c r="K36" s="1744" t="s">
        <v>1056</v>
      </c>
      <c r="L36" s="1745" t="s">
        <v>1239</v>
      </c>
      <c r="M36" s="1740"/>
      <c r="N36" s="1756"/>
      <c r="O36" s="1756"/>
      <c r="P36" s="1683"/>
      <c r="Q36" s="1577"/>
      <c r="R36" s="1661"/>
      <c r="S36" s="1661"/>
      <c r="T36" s="1661"/>
      <c r="U36" s="1661"/>
      <c r="V36" s="1661"/>
      <c r="W36" s="1661"/>
      <c r="X36" s="1661"/>
    </row>
    <row r="37" spans="1:24" x14ac:dyDescent="0.2">
      <c r="A37" s="1744"/>
      <c r="B37" s="1744" t="s">
        <v>1343</v>
      </c>
      <c r="C37" s="1744">
        <v>122500</v>
      </c>
      <c r="D37" s="1740"/>
      <c r="E37" s="1744" t="s">
        <v>1360</v>
      </c>
      <c r="F37" s="1744" t="s">
        <v>1098</v>
      </c>
      <c r="G37" s="1745"/>
      <c r="H37" s="1744" t="s">
        <v>1057</v>
      </c>
      <c r="I37" s="1749" t="s">
        <v>1237</v>
      </c>
      <c r="J37" s="1747"/>
      <c r="K37" s="1744" t="s">
        <v>1058</v>
      </c>
      <c r="L37" s="1745" t="s">
        <v>1239</v>
      </c>
      <c r="M37" s="1740"/>
      <c r="N37" s="1756"/>
      <c r="O37" s="1756"/>
      <c r="P37" s="1683"/>
      <c r="Q37" s="1577"/>
      <c r="R37" s="1661"/>
      <c r="S37" s="1661"/>
      <c r="T37" s="1661"/>
      <c r="U37" s="1661"/>
      <c r="V37" s="1661"/>
      <c r="W37" s="1661"/>
      <c r="X37" s="1661"/>
    </row>
    <row r="38" spans="1:24" x14ac:dyDescent="0.2">
      <c r="A38" s="1744"/>
      <c r="B38" s="1744" t="s">
        <v>1342</v>
      </c>
      <c r="C38" s="1744">
        <v>157500</v>
      </c>
      <c r="D38" s="1740"/>
      <c r="E38" s="1744" t="s">
        <v>1361</v>
      </c>
      <c r="F38" s="1744" t="s">
        <v>1098</v>
      </c>
      <c r="G38" s="1745"/>
      <c r="H38" s="1745" t="s">
        <v>1116</v>
      </c>
      <c r="I38" s="1749" t="s">
        <v>733</v>
      </c>
      <c r="J38" s="1747"/>
      <c r="K38" s="1744" t="s">
        <v>1059</v>
      </c>
      <c r="L38" s="1745" t="s">
        <v>1405</v>
      </c>
      <c r="M38" s="1740"/>
      <c r="N38" s="1756"/>
      <c r="O38" s="1756"/>
      <c r="P38" s="1683"/>
      <c r="Q38" s="1577"/>
      <c r="R38" s="1661"/>
      <c r="S38" s="1661"/>
      <c r="T38" s="1661"/>
      <c r="U38" s="1661"/>
      <c r="V38" s="1661"/>
      <c r="W38" s="1661"/>
      <c r="X38" s="1661"/>
    </row>
    <row r="39" spans="1:24" x14ac:dyDescent="0.2">
      <c r="A39" s="1744"/>
      <c r="B39" s="1744" t="s">
        <v>1344</v>
      </c>
      <c r="C39" s="1744">
        <v>175000</v>
      </c>
      <c r="D39" s="1740"/>
      <c r="E39" s="1744"/>
      <c r="F39" s="1744"/>
      <c r="G39" s="1745"/>
      <c r="H39" s="1742" t="s">
        <v>1060</v>
      </c>
      <c r="I39" s="1740"/>
      <c r="J39" s="1747"/>
      <c r="K39" s="1744" t="s">
        <v>1061</v>
      </c>
      <c r="L39" s="1745" t="s">
        <v>1405</v>
      </c>
      <c r="M39" s="1740"/>
      <c r="N39" s="1756"/>
      <c r="O39" s="1756"/>
      <c r="P39" s="1683"/>
      <c r="Q39" s="1577"/>
      <c r="R39" s="1661"/>
      <c r="S39" s="1661"/>
      <c r="T39" s="1661"/>
      <c r="U39" s="1661"/>
      <c r="V39" s="1661"/>
      <c r="W39" s="1661"/>
      <c r="X39" s="1661"/>
    </row>
    <row r="40" spans="1:24" x14ac:dyDescent="0.2">
      <c r="A40" s="1744"/>
      <c r="B40" s="1744" t="s">
        <v>1345</v>
      </c>
      <c r="C40" s="1744">
        <v>227500</v>
      </c>
      <c r="D40" s="1740"/>
      <c r="E40" s="1744" t="s">
        <v>785</v>
      </c>
      <c r="F40" s="1744" t="s">
        <v>1419</v>
      </c>
      <c r="G40" s="1745"/>
      <c r="H40" s="1744" t="s">
        <v>1062</v>
      </c>
      <c r="I40" s="1753">
        <v>4375</v>
      </c>
      <c r="J40" s="1747"/>
      <c r="K40" s="1744" t="s">
        <v>578</v>
      </c>
      <c r="L40" s="1745" t="s">
        <v>676</v>
      </c>
      <c r="M40" s="1740"/>
      <c r="N40" s="1756"/>
      <c r="O40" s="1756"/>
      <c r="P40" s="1683"/>
      <c r="Q40" s="1577"/>
      <c r="R40" s="1661"/>
      <c r="S40" s="1661"/>
      <c r="T40" s="1661"/>
      <c r="U40" s="1661"/>
      <c r="V40" s="1661"/>
      <c r="W40" s="1661"/>
      <c r="X40" s="1661"/>
    </row>
    <row r="41" spans="1:24" x14ac:dyDescent="0.2">
      <c r="A41" s="1744"/>
      <c r="B41" s="1744" t="s">
        <v>1346</v>
      </c>
      <c r="C41" s="1744">
        <v>315000</v>
      </c>
      <c r="D41" s="1740"/>
      <c r="E41" s="1744"/>
      <c r="F41" s="1748"/>
      <c r="G41" s="1740"/>
      <c r="H41" s="1744" t="s">
        <v>579</v>
      </c>
      <c r="I41" s="1753" t="s">
        <v>1408</v>
      </c>
      <c r="J41" s="1747"/>
      <c r="K41" s="1744" t="s">
        <v>792</v>
      </c>
      <c r="L41" s="1745" t="s">
        <v>794</v>
      </c>
      <c r="M41" s="1740"/>
      <c r="N41" s="1756"/>
      <c r="O41" s="1756"/>
      <c r="P41" s="1683"/>
      <c r="Q41" s="1577"/>
      <c r="R41" s="1661"/>
      <c r="S41" s="1661"/>
      <c r="T41" s="1661"/>
      <c r="U41" s="1661"/>
      <c r="V41" s="1661"/>
      <c r="W41" s="1661"/>
      <c r="X41" s="1661"/>
    </row>
    <row r="42" spans="1:24" x14ac:dyDescent="0.2">
      <c r="A42" s="1744"/>
      <c r="B42" s="1744" t="s">
        <v>292</v>
      </c>
      <c r="C42" s="1744">
        <v>420000</v>
      </c>
      <c r="D42" s="1740"/>
      <c r="E42" s="1744"/>
      <c r="F42" s="1748"/>
      <c r="G42" s="1740"/>
      <c r="H42" s="1744" t="s">
        <v>580</v>
      </c>
      <c r="I42" s="1753">
        <v>14000</v>
      </c>
      <c r="J42" s="1747"/>
      <c r="K42" s="1744" t="s">
        <v>793</v>
      </c>
      <c r="L42" s="1745" t="s">
        <v>794</v>
      </c>
      <c r="M42" s="1740"/>
      <c r="N42" s="1756"/>
      <c r="O42" s="1756"/>
      <c r="P42" s="1683"/>
      <c r="Q42" s="1577"/>
      <c r="R42" s="1661"/>
      <c r="S42" s="1661"/>
      <c r="T42" s="1661"/>
      <c r="U42" s="1661"/>
      <c r="V42" s="1661"/>
      <c r="W42" s="1661"/>
      <c r="X42" s="1661"/>
    </row>
    <row r="43" spans="1:24" x14ac:dyDescent="0.2">
      <c r="A43" s="1744"/>
      <c r="B43" s="1744" t="s">
        <v>293</v>
      </c>
      <c r="C43" s="1744" t="s">
        <v>1098</v>
      </c>
      <c r="D43" s="1740"/>
      <c r="E43" s="1744"/>
      <c r="F43" s="1748"/>
      <c r="G43" s="1740"/>
      <c r="H43" s="1744" t="s">
        <v>581</v>
      </c>
      <c r="I43" s="1753" t="s">
        <v>1404</v>
      </c>
      <c r="J43" s="1747"/>
      <c r="K43" s="1742" t="s">
        <v>582</v>
      </c>
      <c r="L43" s="1745"/>
      <c r="M43" s="1740"/>
      <c r="N43" s="1756"/>
      <c r="O43" s="1756"/>
      <c r="P43" s="1683"/>
      <c r="Q43" s="1577"/>
      <c r="R43" s="1661"/>
      <c r="S43" s="1661"/>
      <c r="T43" s="1661"/>
      <c r="U43" s="1661"/>
      <c r="V43" s="1661"/>
      <c r="W43" s="1661"/>
      <c r="X43" s="1661"/>
    </row>
    <row r="44" spans="1:24" x14ac:dyDescent="0.2">
      <c r="A44" s="1744"/>
      <c r="B44" s="1744" t="s">
        <v>1347</v>
      </c>
      <c r="C44" s="1744" t="s">
        <v>1098</v>
      </c>
      <c r="D44" s="1740"/>
      <c r="E44" s="1742"/>
      <c r="F44" s="1748"/>
      <c r="G44" s="1740"/>
      <c r="H44" s="1744" t="s">
        <v>583</v>
      </c>
      <c r="I44" s="1753" t="s">
        <v>11</v>
      </c>
      <c r="J44" s="1747"/>
      <c r="K44" s="1745" t="s">
        <v>584</v>
      </c>
      <c r="L44" s="1745">
        <v>35</v>
      </c>
      <c r="M44" s="1740"/>
      <c r="N44" s="1756"/>
      <c r="O44" s="1756"/>
      <c r="P44" s="1683"/>
      <c r="Q44" s="1577"/>
      <c r="R44" s="1661"/>
      <c r="S44" s="1661"/>
      <c r="T44" s="1661"/>
      <c r="U44" s="1661"/>
      <c r="V44" s="1661"/>
      <c r="W44" s="1661"/>
      <c r="X44" s="1661"/>
    </row>
    <row r="45" spans="1:24" x14ac:dyDescent="0.2">
      <c r="A45" s="1744"/>
      <c r="B45" s="1744" t="s">
        <v>1230</v>
      </c>
      <c r="C45" s="1744">
        <v>18900</v>
      </c>
      <c r="D45" s="1740"/>
      <c r="E45" s="1745"/>
      <c r="F45" s="1744"/>
      <c r="G45" s="1740"/>
      <c r="H45" s="1744" t="s">
        <v>585</v>
      </c>
      <c r="I45" s="1753" t="s">
        <v>11</v>
      </c>
      <c r="J45" s="1747"/>
      <c r="K45" s="1745" t="s">
        <v>586</v>
      </c>
      <c r="L45" s="1745">
        <v>51</v>
      </c>
      <c r="M45" s="1740"/>
      <c r="N45" s="1756"/>
      <c r="O45" s="1756"/>
      <c r="P45" s="1683"/>
      <c r="Q45" s="1577"/>
      <c r="R45" s="1661"/>
      <c r="S45" s="1661"/>
      <c r="T45" s="1661"/>
      <c r="U45" s="1661"/>
      <c r="V45" s="1661"/>
      <c r="W45" s="1661"/>
      <c r="X45" s="1661"/>
    </row>
    <row r="46" spans="1:24" x14ac:dyDescent="0.2">
      <c r="A46" s="1744"/>
      <c r="B46" s="1744"/>
      <c r="C46" s="1744"/>
      <c r="D46" s="1740"/>
      <c r="E46" s="1742"/>
      <c r="F46" s="1748"/>
      <c r="G46" s="1740"/>
      <c r="H46" s="1744" t="s">
        <v>587</v>
      </c>
      <c r="I46" s="1753">
        <v>26250</v>
      </c>
      <c r="J46" s="1747"/>
      <c r="K46" s="1745" t="s">
        <v>448</v>
      </c>
      <c r="L46" s="1745">
        <v>84</v>
      </c>
      <c r="M46" s="1740"/>
      <c r="N46" s="1756"/>
      <c r="O46" s="1756"/>
      <c r="P46" s="1683"/>
      <c r="Q46" s="1577"/>
      <c r="R46" s="1661"/>
      <c r="S46" s="1661"/>
      <c r="T46" s="1661"/>
      <c r="U46" s="1661"/>
      <c r="V46" s="1661"/>
      <c r="W46" s="1661"/>
      <c r="X46" s="1661"/>
    </row>
    <row r="47" spans="1:24" x14ac:dyDescent="0.2">
      <c r="A47" s="1745"/>
      <c r="B47" s="1744" t="s">
        <v>784</v>
      </c>
      <c r="C47" s="1744" t="s">
        <v>1098</v>
      </c>
      <c r="D47" s="1740"/>
      <c r="E47" s="1742"/>
      <c r="F47" s="1748"/>
      <c r="G47" s="1740"/>
      <c r="H47" s="1744" t="s">
        <v>588</v>
      </c>
      <c r="I47" s="1753" t="s">
        <v>1405</v>
      </c>
      <c r="J47" s="1747"/>
      <c r="K47" s="1745" t="s">
        <v>589</v>
      </c>
      <c r="L47" s="1745">
        <v>56</v>
      </c>
      <c r="M47" s="1740"/>
      <c r="N47" s="1756"/>
      <c r="O47" s="1756"/>
      <c r="P47" s="1683"/>
      <c r="Q47" s="1577"/>
      <c r="R47" s="1661"/>
      <c r="S47" s="1661"/>
      <c r="T47" s="1661"/>
      <c r="U47" s="1661"/>
      <c r="V47" s="1661"/>
      <c r="W47" s="1661"/>
      <c r="X47" s="1661"/>
    </row>
    <row r="48" spans="1:24" x14ac:dyDescent="0.2">
      <c r="A48" s="1740"/>
      <c r="B48" s="1744"/>
      <c r="C48" s="1745"/>
      <c r="D48" s="1740"/>
      <c r="E48" s="1745"/>
      <c r="F48" s="1744"/>
      <c r="G48" s="1740"/>
      <c r="H48" s="1740" t="s">
        <v>732</v>
      </c>
      <c r="I48" s="1740" t="s">
        <v>733</v>
      </c>
      <c r="J48" s="1740"/>
      <c r="K48" s="1745" t="s">
        <v>590</v>
      </c>
      <c r="L48" s="1745">
        <v>84</v>
      </c>
      <c r="M48" s="1740"/>
      <c r="N48" s="1756"/>
      <c r="O48" s="1756"/>
      <c r="P48" s="1683"/>
      <c r="Q48" s="1577"/>
      <c r="R48" s="1661"/>
      <c r="S48" s="1661"/>
      <c r="T48" s="1661"/>
      <c r="U48" s="1661"/>
      <c r="V48" s="1661"/>
      <c r="W48" s="1661"/>
      <c r="X48" s="1661"/>
    </row>
    <row r="49" spans="1:24" x14ac:dyDescent="0.2">
      <c r="A49" s="1740"/>
      <c r="B49" s="1744"/>
      <c r="C49" s="1745"/>
      <c r="D49" s="1740"/>
      <c r="E49" s="1745"/>
      <c r="F49" s="1744"/>
      <c r="G49" s="1740"/>
      <c r="H49" s="1740" t="s">
        <v>734</v>
      </c>
      <c r="I49" s="1740" t="s">
        <v>733</v>
      </c>
      <c r="J49" s="1740"/>
      <c r="K49" s="1742" t="s">
        <v>786</v>
      </c>
      <c r="L49" s="1745" t="s">
        <v>1409</v>
      </c>
      <c r="M49" s="1740"/>
      <c r="N49" s="1756"/>
      <c r="O49" s="1756"/>
      <c r="P49" s="1683"/>
      <c r="Q49" s="1577"/>
      <c r="R49" s="1661"/>
      <c r="S49" s="1661"/>
      <c r="T49" s="1661"/>
      <c r="U49" s="1661"/>
      <c r="V49" s="1661"/>
      <c r="W49" s="1661"/>
      <c r="X49" s="1661"/>
    </row>
    <row r="50" spans="1:24" x14ac:dyDescent="0.2">
      <c r="A50" s="1740"/>
      <c r="B50" s="1744"/>
      <c r="C50" s="1745"/>
      <c r="D50" s="1740"/>
      <c r="E50" s="1745"/>
      <c r="F50" s="1744"/>
      <c r="G50" s="1740"/>
      <c r="H50" s="1744" t="s">
        <v>749</v>
      </c>
      <c r="I50" s="1749" t="s">
        <v>676</v>
      </c>
      <c r="J50" s="1740"/>
      <c r="K50" s="1745" t="s">
        <v>787</v>
      </c>
      <c r="L50" s="1745" t="s">
        <v>1410</v>
      </c>
      <c r="M50" s="1740"/>
      <c r="N50" s="1756"/>
      <c r="O50" s="1756"/>
      <c r="P50" s="1683"/>
      <c r="Q50" s="1577"/>
      <c r="R50" s="1661"/>
      <c r="S50" s="1661"/>
      <c r="T50" s="1661"/>
      <c r="U50" s="1661"/>
      <c r="V50" s="1661"/>
      <c r="W50" s="1661"/>
      <c r="X50" s="1661"/>
    </row>
    <row r="51" spans="1:24" x14ac:dyDescent="0.2">
      <c r="A51" s="1740"/>
      <c r="B51" s="1744"/>
      <c r="C51" s="1745"/>
      <c r="D51" s="1740"/>
      <c r="E51" s="1745"/>
      <c r="F51" s="1744"/>
      <c r="G51" s="1740"/>
      <c r="H51" s="1744" t="s">
        <v>187</v>
      </c>
      <c r="I51" s="1749" t="s">
        <v>1404</v>
      </c>
      <c r="J51" s="1740"/>
      <c r="K51" s="1744" t="s">
        <v>673</v>
      </c>
      <c r="L51" s="1745" t="s">
        <v>676</v>
      </c>
      <c r="M51" s="1740"/>
      <c r="N51" s="1756"/>
      <c r="O51" s="1756"/>
      <c r="P51" s="1683"/>
      <c r="Q51" s="1577"/>
      <c r="R51" s="1661"/>
      <c r="S51" s="1661"/>
      <c r="T51" s="1661"/>
      <c r="U51" s="1661"/>
      <c r="V51" s="1661"/>
      <c r="W51" s="1661"/>
      <c r="X51" s="1661"/>
    </row>
    <row r="52" spans="1:24" x14ac:dyDescent="0.2">
      <c r="A52" s="1740"/>
      <c r="B52" s="1744"/>
      <c r="C52" s="1745"/>
      <c r="D52" s="1740"/>
      <c r="E52" s="1745"/>
      <c r="F52" s="1744"/>
      <c r="G52" s="1740"/>
      <c r="H52" s="1744" t="s">
        <v>188</v>
      </c>
      <c r="I52" s="1749" t="s">
        <v>1239</v>
      </c>
      <c r="J52" s="1740"/>
      <c r="K52" s="1744" t="s">
        <v>674</v>
      </c>
      <c r="L52" s="1745" t="s">
        <v>676</v>
      </c>
      <c r="M52" s="1740"/>
      <c r="N52" s="1756"/>
      <c r="O52" s="1756"/>
      <c r="P52" s="1683"/>
      <c r="Q52" s="1577"/>
      <c r="R52" s="1661"/>
      <c r="S52" s="1661"/>
      <c r="T52" s="1661"/>
      <c r="U52" s="1661"/>
      <c r="V52" s="1661"/>
      <c r="W52" s="1661"/>
      <c r="X52" s="1661"/>
    </row>
    <row r="53" spans="1:24" x14ac:dyDescent="0.2">
      <c r="A53" s="1740"/>
      <c r="B53" s="1744"/>
      <c r="C53" s="1745"/>
      <c r="D53" s="1740"/>
      <c r="E53" s="1745"/>
      <c r="F53" s="1744"/>
      <c r="G53" s="1740"/>
      <c r="H53" s="1744"/>
      <c r="I53" s="1749"/>
      <c r="J53" s="1740"/>
      <c r="K53" s="1744" t="s">
        <v>675</v>
      </c>
      <c r="L53" s="1745" t="s">
        <v>676</v>
      </c>
      <c r="M53" s="1740"/>
      <c r="N53" s="1756"/>
      <c r="O53" s="1756"/>
      <c r="P53" s="1683"/>
      <c r="Q53" s="1577"/>
      <c r="R53" s="1661"/>
      <c r="S53" s="1661"/>
      <c r="T53" s="1661"/>
      <c r="U53" s="1661"/>
      <c r="V53" s="1661"/>
      <c r="W53" s="1661"/>
      <c r="X53" s="1661"/>
    </row>
    <row r="54" spans="1:24" x14ac:dyDescent="0.2">
      <c r="A54" s="1740"/>
      <c r="B54" s="1744"/>
      <c r="C54" s="1745"/>
      <c r="D54" s="1740"/>
      <c r="E54" s="1745"/>
      <c r="F54" s="1744"/>
      <c r="G54" s="1740"/>
      <c r="H54" s="1740"/>
      <c r="I54" s="1740"/>
      <c r="J54" s="1740"/>
      <c r="K54" s="1745"/>
      <c r="L54" s="1745"/>
      <c r="M54" s="1740"/>
      <c r="N54" s="1756"/>
      <c r="O54" s="1756"/>
      <c r="P54" s="1683"/>
      <c r="Q54" s="1577"/>
      <c r="R54" s="1661"/>
      <c r="S54" s="1661"/>
      <c r="T54" s="1661"/>
      <c r="U54" s="1661"/>
      <c r="V54" s="1661"/>
      <c r="W54" s="1661"/>
      <c r="X54" s="1661"/>
    </row>
    <row r="55" spans="1:24" x14ac:dyDescent="0.2">
      <c r="A55" s="1740"/>
      <c r="B55" s="1740"/>
      <c r="C55" s="1740"/>
      <c r="D55" s="1740"/>
      <c r="E55" s="1740"/>
      <c r="F55" s="1740"/>
      <c r="G55" s="1740"/>
      <c r="H55" s="1740"/>
      <c r="I55" s="1740"/>
      <c r="J55" s="1740"/>
      <c r="K55" s="1740"/>
      <c r="L55" s="1740"/>
      <c r="M55" s="1740"/>
      <c r="N55" s="1756"/>
      <c r="O55" s="1756"/>
      <c r="P55" s="1683"/>
      <c r="Q55" s="1577"/>
      <c r="R55" s="1628"/>
      <c r="S55" s="1628"/>
    </row>
    <row r="56" spans="1:24" x14ac:dyDescent="0.2">
      <c r="A56" s="1740"/>
      <c r="B56" s="1742" t="s">
        <v>591</v>
      </c>
      <c r="C56" s="1745"/>
      <c r="D56" s="1740"/>
      <c r="E56" s="1742" t="s">
        <v>592</v>
      </c>
      <c r="F56" s="1745"/>
      <c r="G56" s="1740"/>
      <c r="H56" s="1742" t="s">
        <v>593</v>
      </c>
      <c r="I56" s="1745"/>
      <c r="J56" s="1740"/>
      <c r="K56" s="1743" t="s">
        <v>594</v>
      </c>
      <c r="L56" s="1745"/>
      <c r="M56" s="1740"/>
      <c r="N56" s="1756"/>
      <c r="O56" s="1756"/>
      <c r="P56" s="1683"/>
      <c r="Q56" s="1577"/>
      <c r="R56" s="1628"/>
      <c r="S56" s="1628"/>
    </row>
    <row r="57" spans="1:24" x14ac:dyDescent="0.2">
      <c r="A57" s="1740"/>
      <c r="B57" s="1745" t="s">
        <v>595</v>
      </c>
      <c r="C57" s="1744" t="s">
        <v>1411</v>
      </c>
      <c r="D57" s="1740"/>
      <c r="E57" s="1745" t="s">
        <v>596</v>
      </c>
      <c r="F57" s="1745">
        <v>33600</v>
      </c>
      <c r="G57" s="1740"/>
      <c r="H57" s="1745" t="s">
        <v>597</v>
      </c>
      <c r="I57" s="1744">
        <v>56000</v>
      </c>
      <c r="J57" s="1740"/>
      <c r="K57" s="1740" t="s">
        <v>598</v>
      </c>
      <c r="L57" s="1744">
        <v>14400</v>
      </c>
      <c r="M57" s="1740"/>
      <c r="N57" s="1756"/>
      <c r="O57" s="1756"/>
      <c r="P57" s="1683"/>
      <c r="Q57" s="1577"/>
      <c r="R57" s="1628"/>
      <c r="S57" s="1628"/>
    </row>
    <row r="58" spans="1:24" x14ac:dyDescent="0.2">
      <c r="A58" s="1740"/>
      <c r="B58" s="1745" t="s">
        <v>599</v>
      </c>
      <c r="C58" s="1744">
        <v>42000</v>
      </c>
      <c r="D58" s="1740"/>
      <c r="E58" s="1745" t="s">
        <v>600</v>
      </c>
      <c r="F58" s="1745">
        <v>44800</v>
      </c>
      <c r="G58" s="1740"/>
      <c r="H58" s="1745" t="s">
        <v>601</v>
      </c>
      <c r="I58" s="1744">
        <v>77000</v>
      </c>
      <c r="J58" s="1740"/>
      <c r="K58" s="1740" t="s">
        <v>602</v>
      </c>
      <c r="L58" s="1744">
        <v>10800</v>
      </c>
      <c r="M58" s="1740"/>
      <c r="N58" s="1756"/>
      <c r="O58" s="1756"/>
      <c r="P58" s="1683"/>
      <c r="Q58" s="1577"/>
      <c r="R58" s="1628"/>
      <c r="S58" s="1628"/>
    </row>
    <row r="59" spans="1:24" x14ac:dyDescent="0.2">
      <c r="A59" s="1740"/>
      <c r="B59" s="1745" t="s">
        <v>603</v>
      </c>
      <c r="C59" s="1744" t="s">
        <v>1411</v>
      </c>
      <c r="D59" s="1740"/>
      <c r="E59" s="1740"/>
      <c r="F59" s="1745"/>
      <c r="G59" s="1740"/>
      <c r="H59" s="1740"/>
      <c r="I59" s="1744"/>
      <c r="J59" s="1740"/>
      <c r="K59" s="1740" t="s">
        <v>604</v>
      </c>
      <c r="L59" s="1744">
        <v>21600</v>
      </c>
      <c r="M59" s="1740"/>
      <c r="N59" s="1756"/>
      <c r="O59" s="1756"/>
      <c r="P59" s="1683"/>
      <c r="Q59" s="1577"/>
      <c r="R59" s="1628"/>
      <c r="S59" s="1628"/>
    </row>
    <row r="60" spans="1:24" x14ac:dyDescent="0.2">
      <c r="A60" s="1740"/>
      <c r="B60" s="1745" t="s">
        <v>605</v>
      </c>
      <c r="C60" s="1744">
        <v>46200</v>
      </c>
      <c r="D60" s="1740"/>
      <c r="E60" s="1741" t="s">
        <v>606</v>
      </c>
      <c r="F60" s="1745"/>
      <c r="G60" s="1740"/>
      <c r="H60" s="1742" t="s">
        <v>607</v>
      </c>
      <c r="I60" s="1744">
        <v>18200</v>
      </c>
      <c r="J60" s="1740"/>
      <c r="K60" s="1740" t="s">
        <v>608</v>
      </c>
      <c r="L60" s="1744">
        <v>21600</v>
      </c>
      <c r="M60" s="1740"/>
      <c r="N60" s="1756"/>
      <c r="O60" s="1756"/>
      <c r="P60" s="1683"/>
      <c r="Q60" s="1577"/>
      <c r="R60" s="1628"/>
      <c r="S60" s="1628"/>
    </row>
    <row r="61" spans="1:24" x14ac:dyDescent="0.2">
      <c r="A61" s="1740"/>
      <c r="B61" s="1745" t="s">
        <v>609</v>
      </c>
      <c r="C61" s="1744" t="s">
        <v>1411</v>
      </c>
      <c r="D61" s="1740"/>
      <c r="E61" s="1745" t="s">
        <v>610</v>
      </c>
      <c r="F61" s="1745">
        <v>14000</v>
      </c>
      <c r="G61" s="1745"/>
      <c r="H61" s="1745" t="s">
        <v>70</v>
      </c>
      <c r="I61" s="1744">
        <v>11200</v>
      </c>
      <c r="J61" s="1745"/>
      <c r="K61" s="1745" t="s">
        <v>611</v>
      </c>
      <c r="L61" s="1744">
        <v>42000</v>
      </c>
      <c r="M61" s="1740"/>
      <c r="N61" s="1756"/>
      <c r="O61" s="1756"/>
      <c r="P61" s="1683"/>
      <c r="Q61" s="1577"/>
      <c r="R61" s="1628"/>
      <c r="S61" s="1628"/>
    </row>
    <row r="62" spans="1:24" x14ac:dyDescent="0.2">
      <c r="A62" s="1740"/>
      <c r="B62" s="1745" t="s">
        <v>612</v>
      </c>
      <c r="C62" s="1744">
        <v>50400</v>
      </c>
      <c r="D62" s="1740"/>
      <c r="E62" s="1745"/>
      <c r="F62" s="1745"/>
      <c r="G62" s="1745"/>
      <c r="H62" s="1745" t="s">
        <v>69</v>
      </c>
      <c r="I62" s="1744">
        <v>11200</v>
      </c>
      <c r="J62" s="1745"/>
      <c r="K62" s="1745" t="s">
        <v>613</v>
      </c>
      <c r="L62" s="1744">
        <v>10800</v>
      </c>
      <c r="M62" s="1740"/>
      <c r="N62" s="1756"/>
      <c r="O62" s="1756"/>
      <c r="P62" s="1683"/>
      <c r="Q62" s="1577"/>
      <c r="R62" s="1628"/>
      <c r="S62" s="1628"/>
    </row>
    <row r="63" spans="1:24" x14ac:dyDescent="0.2">
      <c r="A63" s="1740"/>
      <c r="B63" s="1745" t="s">
        <v>614</v>
      </c>
      <c r="C63" s="1744" t="s">
        <v>1411</v>
      </c>
      <c r="D63" s="1740"/>
      <c r="E63" s="1745" t="s">
        <v>615</v>
      </c>
      <c r="F63" s="1745">
        <v>3920</v>
      </c>
      <c r="G63" s="1745"/>
      <c r="H63" s="1745" t="s">
        <v>71</v>
      </c>
      <c r="I63" s="1744">
        <v>22400</v>
      </c>
      <c r="J63" s="1745"/>
      <c r="K63" s="1745" t="s">
        <v>1231</v>
      </c>
      <c r="L63" s="1744">
        <v>25200</v>
      </c>
      <c r="M63" s="1740"/>
      <c r="N63" s="1756"/>
      <c r="O63" s="1756"/>
      <c r="P63" s="1683"/>
      <c r="Q63" s="1577"/>
      <c r="R63" s="1628"/>
      <c r="S63" s="1628"/>
    </row>
    <row r="64" spans="1:24" x14ac:dyDescent="0.2">
      <c r="A64" s="1740"/>
      <c r="B64" s="1745" t="s">
        <v>616</v>
      </c>
      <c r="C64" s="1744">
        <v>60200</v>
      </c>
      <c r="D64" s="1740"/>
      <c r="E64" s="1745" t="s">
        <v>617</v>
      </c>
      <c r="F64" s="1745">
        <v>11200</v>
      </c>
      <c r="G64" s="1745"/>
      <c r="H64" s="1745"/>
      <c r="I64" s="1744"/>
      <c r="J64" s="1745"/>
      <c r="K64" s="1745" t="s">
        <v>618</v>
      </c>
      <c r="L64" s="1744">
        <v>10800</v>
      </c>
      <c r="M64" s="1740"/>
      <c r="N64" s="1756"/>
      <c r="O64" s="1756"/>
      <c r="P64" s="1683"/>
      <c r="Q64" s="1577"/>
      <c r="R64" s="1628"/>
      <c r="S64" s="1628"/>
    </row>
    <row r="65" spans="1:19" x14ac:dyDescent="0.2">
      <c r="A65" s="1740"/>
      <c r="B65" s="1745" t="s">
        <v>619</v>
      </c>
      <c r="C65" s="1744" t="s">
        <v>1411</v>
      </c>
      <c r="D65" s="1740"/>
      <c r="E65" s="1745" t="s">
        <v>620</v>
      </c>
      <c r="F65" s="1745">
        <v>17920</v>
      </c>
      <c r="G65" s="1745"/>
      <c r="H65" s="1745" t="s">
        <v>621</v>
      </c>
      <c r="I65" s="1744">
        <v>5400</v>
      </c>
      <c r="J65" s="1745"/>
      <c r="K65" s="1745" t="s">
        <v>622</v>
      </c>
      <c r="L65" s="1744">
        <v>28000</v>
      </c>
      <c r="M65" s="1740"/>
      <c r="N65" s="1756"/>
      <c r="O65" s="1756"/>
      <c r="P65" s="1683"/>
      <c r="Q65" s="1577"/>
      <c r="R65" s="1628"/>
      <c r="S65" s="1628"/>
    </row>
    <row r="66" spans="1:19" x14ac:dyDescent="0.2">
      <c r="A66" s="1740"/>
      <c r="B66" s="1745" t="s">
        <v>623</v>
      </c>
      <c r="C66" s="1744">
        <v>58800</v>
      </c>
      <c r="D66" s="1740"/>
      <c r="E66" s="1745" t="s">
        <v>624</v>
      </c>
      <c r="F66" s="1745">
        <v>3360</v>
      </c>
      <c r="G66" s="1745"/>
      <c r="H66" s="1745" t="s">
        <v>625</v>
      </c>
      <c r="I66" s="1744">
        <v>5900</v>
      </c>
      <c r="J66" s="1745"/>
      <c r="K66" s="1745" t="s">
        <v>626</v>
      </c>
      <c r="L66" s="1744">
        <v>49000</v>
      </c>
      <c r="M66" s="1740"/>
      <c r="N66" s="1756"/>
      <c r="O66" s="1756"/>
      <c r="P66" s="1683"/>
      <c r="Q66" s="1577"/>
      <c r="R66" s="1628"/>
      <c r="S66" s="1628"/>
    </row>
    <row r="67" spans="1:19" x14ac:dyDescent="0.2">
      <c r="A67" s="1740"/>
      <c r="B67" s="1745" t="s">
        <v>627</v>
      </c>
      <c r="C67" s="1744" t="s">
        <v>1411</v>
      </c>
      <c r="D67" s="1740"/>
      <c r="E67" s="1745"/>
      <c r="F67" s="1745"/>
      <c r="G67" s="1745"/>
      <c r="H67" s="1745" t="s">
        <v>628</v>
      </c>
      <c r="I67" s="1744">
        <v>6300</v>
      </c>
      <c r="J67" s="1745"/>
      <c r="K67" s="1745"/>
      <c r="L67" s="1745"/>
      <c r="M67" s="1740"/>
      <c r="N67" s="1756"/>
      <c r="O67" s="1756"/>
      <c r="P67" s="1683"/>
      <c r="Q67" s="1577"/>
      <c r="R67" s="1628"/>
      <c r="S67" s="1628"/>
    </row>
    <row r="68" spans="1:19" x14ac:dyDescent="0.2">
      <c r="A68" s="1740"/>
      <c r="B68" s="1745" t="s">
        <v>629</v>
      </c>
      <c r="C68" s="1744">
        <v>63000</v>
      </c>
      <c r="D68" s="1740"/>
      <c r="E68" s="1745"/>
      <c r="F68" s="1745"/>
      <c r="G68" s="1745"/>
      <c r="H68" s="1745"/>
      <c r="I68" s="1744"/>
      <c r="J68" s="1745"/>
      <c r="K68" s="1745" t="s">
        <v>630</v>
      </c>
      <c r="L68" s="1744">
        <v>25200</v>
      </c>
      <c r="M68" s="1740"/>
      <c r="N68" s="1756"/>
      <c r="O68" s="1756"/>
      <c r="P68" s="1683"/>
      <c r="Q68" s="1577"/>
      <c r="R68" s="1628"/>
      <c r="S68" s="1628"/>
    </row>
    <row r="69" spans="1:19" x14ac:dyDescent="0.2">
      <c r="A69" s="1740"/>
      <c r="B69" s="1740"/>
      <c r="C69" s="1745"/>
      <c r="D69" s="1740"/>
      <c r="E69" s="1745"/>
      <c r="F69" s="1745"/>
      <c r="G69" s="1745"/>
      <c r="H69" s="1745"/>
      <c r="I69" s="1744"/>
      <c r="J69" s="1745"/>
      <c r="K69" s="1745" t="s">
        <v>631</v>
      </c>
      <c r="L69" s="1744">
        <v>58800</v>
      </c>
      <c r="M69" s="1740"/>
      <c r="N69" s="1756"/>
      <c r="O69" s="1756"/>
      <c r="P69" s="1683"/>
      <c r="Q69" s="1577"/>
      <c r="R69" s="1628"/>
      <c r="S69" s="1628"/>
    </row>
    <row r="70" spans="1:19" x14ac:dyDescent="0.2">
      <c r="A70" s="1740"/>
      <c r="B70" s="1740"/>
      <c r="C70" s="1745"/>
      <c r="D70" s="1740"/>
      <c r="E70" s="1745"/>
      <c r="F70" s="1745"/>
      <c r="G70" s="1745"/>
      <c r="H70" s="1745"/>
      <c r="I70" s="1744"/>
      <c r="J70" s="1745"/>
      <c r="K70" s="1745" t="s">
        <v>632</v>
      </c>
      <c r="L70" s="1744">
        <v>78400</v>
      </c>
      <c r="M70" s="1740"/>
      <c r="N70" s="1756"/>
      <c r="O70" s="1756"/>
      <c r="P70" s="1683"/>
      <c r="Q70" s="1577"/>
      <c r="R70" s="1628"/>
      <c r="S70" s="1628"/>
    </row>
    <row r="71" spans="1:19" x14ac:dyDescent="0.2">
      <c r="A71" s="1740"/>
      <c r="B71" s="1742" t="s">
        <v>633</v>
      </c>
      <c r="C71" s="1745"/>
      <c r="D71" s="1740"/>
      <c r="E71" s="1745"/>
      <c r="F71" s="1745"/>
      <c r="G71" s="1745"/>
      <c r="H71" s="1745"/>
      <c r="I71" s="1744"/>
      <c r="J71" s="1745"/>
      <c r="K71" s="1745" t="s">
        <v>517</v>
      </c>
      <c r="L71" s="1744">
        <v>140000</v>
      </c>
      <c r="M71" s="1740"/>
      <c r="N71" s="1756"/>
      <c r="O71" s="1756"/>
      <c r="P71" s="1683"/>
      <c r="Q71" s="1577"/>
      <c r="R71" s="1628"/>
      <c r="S71" s="1628"/>
    </row>
    <row r="72" spans="1:19" x14ac:dyDescent="0.2">
      <c r="A72" s="1740"/>
      <c r="B72" s="1746" t="s">
        <v>518</v>
      </c>
      <c r="C72" s="1744">
        <v>14000</v>
      </c>
      <c r="D72" s="1740"/>
      <c r="E72" s="1745"/>
      <c r="F72" s="1745"/>
      <c r="G72" s="1745"/>
      <c r="H72" s="1745"/>
      <c r="I72" s="1745"/>
      <c r="J72" s="1745"/>
      <c r="K72" s="1745"/>
      <c r="L72" s="1744"/>
      <c r="M72" s="1740"/>
      <c r="N72" s="1756"/>
      <c r="O72" s="1756"/>
      <c r="P72" s="1683"/>
      <c r="Q72" s="1577"/>
      <c r="R72" s="1628"/>
      <c r="S72" s="1628"/>
    </row>
    <row r="73" spans="1:19" x14ac:dyDescent="0.2">
      <c r="A73" s="1740"/>
      <c r="B73" s="1746" t="s">
        <v>1233</v>
      </c>
      <c r="C73" s="1744">
        <v>1400</v>
      </c>
      <c r="D73" s="1740"/>
      <c r="E73" s="1745" t="s">
        <v>1049</v>
      </c>
      <c r="F73" s="1745">
        <v>21000</v>
      </c>
      <c r="G73" s="1745"/>
      <c r="H73" s="1745"/>
      <c r="I73" s="1745"/>
      <c r="J73" s="1745"/>
      <c r="K73" s="1745"/>
      <c r="L73" s="1745"/>
      <c r="M73" s="1740"/>
      <c r="N73" s="1756"/>
      <c r="O73" s="1756"/>
      <c r="P73" s="1683"/>
      <c r="Q73" s="1577"/>
      <c r="R73" s="1628"/>
      <c r="S73" s="1628"/>
    </row>
    <row r="74" spans="1:19" x14ac:dyDescent="0.2">
      <c r="A74" s="1740"/>
      <c r="B74" s="1746" t="s">
        <v>1232</v>
      </c>
      <c r="C74" s="1744">
        <v>15400</v>
      </c>
      <c r="D74" s="1740"/>
      <c r="E74" s="1745" t="s">
        <v>1048</v>
      </c>
      <c r="F74" s="1750">
        <v>8400</v>
      </c>
      <c r="G74" s="1750"/>
      <c r="H74" s="1745"/>
      <c r="I74" s="1745"/>
      <c r="J74" s="1751"/>
      <c r="K74" s="1742"/>
      <c r="L74" s="1745"/>
      <c r="M74" s="1740"/>
      <c r="N74" s="1756"/>
      <c r="O74" s="1756"/>
      <c r="P74" s="1683"/>
      <c r="Q74" s="1577"/>
      <c r="R74" s="1628"/>
      <c r="S74" s="1628"/>
    </row>
    <row r="75" spans="1:19" x14ac:dyDescent="0.2">
      <c r="A75" s="1740"/>
      <c r="B75" s="1747" t="s">
        <v>519</v>
      </c>
      <c r="C75" s="1744">
        <v>2800</v>
      </c>
      <c r="D75" s="1740"/>
      <c r="E75" s="1745" t="s">
        <v>1051</v>
      </c>
      <c r="F75" s="1745">
        <v>105</v>
      </c>
      <c r="G75" s="1745"/>
      <c r="H75" s="1745"/>
      <c r="I75" s="1745"/>
      <c r="J75" s="1745"/>
      <c r="K75" s="1745"/>
      <c r="L75" s="1745"/>
      <c r="M75" s="1740"/>
      <c r="N75" s="1756"/>
      <c r="O75" s="1756"/>
      <c r="P75" s="1683"/>
      <c r="Q75" s="1577"/>
      <c r="R75" s="1628"/>
      <c r="S75" s="1628"/>
    </row>
    <row r="76" spans="1:19" x14ac:dyDescent="0.2">
      <c r="A76" s="1740"/>
      <c r="B76" s="1747" t="s">
        <v>520</v>
      </c>
      <c r="C76" s="1744" t="s">
        <v>1411</v>
      </c>
      <c r="D76" s="1740"/>
      <c r="E76" s="1745" t="s">
        <v>1050</v>
      </c>
      <c r="F76" s="1745">
        <v>210</v>
      </c>
      <c r="G76" s="1745"/>
      <c r="H76" s="1745"/>
      <c r="I76" s="1745"/>
      <c r="J76" s="1745"/>
      <c r="K76" s="1745"/>
      <c r="L76" s="1745"/>
      <c r="M76" s="1740"/>
      <c r="N76" s="1756"/>
      <c r="O76" s="1756"/>
      <c r="P76" s="1683"/>
      <c r="Q76" s="1577"/>
      <c r="R76" s="1628"/>
      <c r="S76" s="1628"/>
    </row>
    <row r="77" spans="1:19" x14ac:dyDescent="0.2">
      <c r="A77" s="1740"/>
      <c r="B77" s="1747" t="s">
        <v>521</v>
      </c>
      <c r="C77" s="1744">
        <v>8400</v>
      </c>
      <c r="D77" s="1740"/>
      <c r="E77" s="1745" t="s">
        <v>743</v>
      </c>
      <c r="F77" s="1745">
        <v>14000</v>
      </c>
      <c r="G77" s="1745"/>
      <c r="H77" s="1745"/>
      <c r="I77" s="1745"/>
      <c r="J77" s="1745"/>
      <c r="K77" s="1745"/>
      <c r="L77" s="1745"/>
      <c r="M77" s="1740"/>
      <c r="N77" s="1756"/>
      <c r="O77" s="1756"/>
      <c r="P77" s="1683"/>
      <c r="Q77" s="1577"/>
      <c r="R77" s="1628"/>
      <c r="S77" s="1628"/>
    </row>
    <row r="78" spans="1:19" x14ac:dyDescent="0.2">
      <c r="A78" s="1740"/>
      <c r="B78" s="1747" t="s">
        <v>522</v>
      </c>
      <c r="C78" s="1744">
        <v>8400</v>
      </c>
      <c r="D78" s="1740"/>
      <c r="E78" s="1740"/>
      <c r="F78" s="1745"/>
      <c r="G78" s="1740"/>
      <c r="H78" s="1740"/>
      <c r="I78" s="1745"/>
      <c r="J78" s="1740"/>
      <c r="K78" s="1740"/>
      <c r="L78" s="1745"/>
      <c r="M78" s="1740"/>
      <c r="N78" s="1756"/>
      <c r="O78" s="1756"/>
      <c r="P78" s="1683"/>
      <c r="Q78" s="1577"/>
      <c r="R78" s="1628"/>
      <c r="S78" s="1628"/>
    </row>
    <row r="79" spans="1:19" x14ac:dyDescent="0.2">
      <c r="A79" s="1740"/>
      <c r="B79" s="1747" t="s">
        <v>449</v>
      </c>
      <c r="C79" s="1744" t="s">
        <v>1411</v>
      </c>
      <c r="D79" s="1740"/>
      <c r="E79" s="1740"/>
      <c r="F79" s="1745"/>
      <c r="G79" s="1740"/>
      <c r="H79" s="1740"/>
      <c r="I79" s="1745"/>
      <c r="J79" s="1740"/>
      <c r="K79" s="1740"/>
      <c r="L79" s="1708"/>
      <c r="M79" s="1682"/>
      <c r="N79" s="1709"/>
      <c r="O79" s="1709"/>
      <c r="P79" s="1683"/>
      <c r="Q79" s="1577"/>
      <c r="R79" s="1628"/>
      <c r="S79" s="1628"/>
    </row>
    <row r="80" spans="1:19" x14ac:dyDescent="0.2">
      <c r="A80" s="1740"/>
      <c r="B80" s="1747" t="s">
        <v>450</v>
      </c>
      <c r="C80" s="1744">
        <v>19600</v>
      </c>
      <c r="D80" s="1740"/>
      <c r="E80" s="1740"/>
      <c r="F80" s="1745"/>
      <c r="G80" s="1740"/>
      <c r="H80" s="1740"/>
      <c r="I80" s="1745"/>
      <c r="J80" s="1740"/>
      <c r="K80" s="1740"/>
      <c r="L80" s="1708"/>
      <c r="M80" s="1682"/>
      <c r="N80" s="1709"/>
      <c r="O80" s="1709"/>
      <c r="P80" s="1683"/>
      <c r="Q80" s="1577"/>
      <c r="R80" s="1628"/>
      <c r="S80" s="1628"/>
    </row>
    <row r="81" spans="1:19" x14ac:dyDescent="0.2">
      <c r="A81" s="1740"/>
      <c r="B81" s="1747" t="s">
        <v>451</v>
      </c>
      <c r="C81" s="1744">
        <v>19600</v>
      </c>
      <c r="D81" s="1740"/>
      <c r="E81" s="1740"/>
      <c r="F81" s="1745"/>
      <c r="G81" s="1740"/>
      <c r="H81" s="1740"/>
      <c r="I81" s="1745"/>
      <c r="J81" s="1740"/>
      <c r="K81" s="1740"/>
      <c r="L81" s="1708"/>
      <c r="M81" s="1682"/>
      <c r="N81" s="1709"/>
      <c r="O81" s="1709"/>
      <c r="P81" s="1683"/>
      <c r="Q81" s="1577"/>
      <c r="R81" s="1628"/>
      <c r="S81" s="1628"/>
    </row>
    <row r="82" spans="1:19" x14ac:dyDescent="0.2">
      <c r="A82" s="1740"/>
      <c r="B82" s="1747" t="s">
        <v>523</v>
      </c>
      <c r="C82" s="1744" t="s">
        <v>1202</v>
      </c>
      <c r="D82" s="1740"/>
      <c r="E82" s="1740"/>
      <c r="F82" s="1745"/>
      <c r="G82" s="1740"/>
      <c r="H82" s="1740"/>
      <c r="I82" s="1745"/>
      <c r="J82" s="1740"/>
      <c r="K82" s="1740"/>
      <c r="L82" s="1708"/>
      <c r="M82" s="1682"/>
      <c r="N82" s="1709"/>
      <c r="O82" s="1709"/>
      <c r="P82" s="1683"/>
      <c r="Q82" s="1577"/>
      <c r="R82" s="1628"/>
      <c r="S82" s="1628"/>
    </row>
    <row r="83" spans="1:19" x14ac:dyDescent="0.2">
      <c r="A83" s="1740"/>
      <c r="B83" s="1747" t="s">
        <v>524</v>
      </c>
      <c r="C83" s="1744">
        <v>8400</v>
      </c>
      <c r="D83" s="1740"/>
      <c r="E83" s="1740"/>
      <c r="F83" s="1745"/>
      <c r="G83" s="1740"/>
      <c r="H83" s="1740"/>
      <c r="I83" s="1745"/>
      <c r="J83" s="1740"/>
      <c r="K83" s="1740"/>
      <c r="L83" s="1708"/>
      <c r="M83" s="1682"/>
      <c r="N83" s="1683"/>
      <c r="O83" s="1683"/>
      <c r="P83" s="1683"/>
      <c r="Q83" s="1577"/>
      <c r="R83" s="1628"/>
      <c r="S83" s="1628"/>
    </row>
    <row r="84" spans="1:19" x14ac:dyDescent="0.2">
      <c r="A84" s="1740"/>
      <c r="B84" s="1747" t="s">
        <v>1234</v>
      </c>
      <c r="C84" s="1744">
        <v>12600</v>
      </c>
      <c r="D84" s="1740"/>
      <c r="E84" s="1740"/>
      <c r="F84" s="1745"/>
      <c r="G84" s="1740"/>
      <c r="H84" s="1740"/>
      <c r="I84" s="1745"/>
      <c r="J84" s="1740"/>
      <c r="K84" s="1740"/>
      <c r="L84" s="1708"/>
      <c r="M84" s="1682"/>
      <c r="N84" s="1683"/>
      <c r="O84" s="1683"/>
      <c r="P84" s="1683"/>
      <c r="Q84" s="1577"/>
      <c r="R84" s="1628"/>
      <c r="S84" s="1628"/>
    </row>
    <row r="85" spans="1:19" x14ac:dyDescent="0.2">
      <c r="A85" s="1740"/>
      <c r="B85" s="1747" t="s">
        <v>1154</v>
      </c>
      <c r="C85" s="1744" t="s">
        <v>1153</v>
      </c>
      <c r="D85" s="1740"/>
      <c r="E85" s="1740"/>
      <c r="F85" s="1740"/>
      <c r="G85" s="1740"/>
      <c r="H85" s="1740"/>
      <c r="I85" s="1740"/>
      <c r="J85" s="1740"/>
      <c r="K85" s="1740"/>
      <c r="L85" s="1682"/>
      <c r="M85" s="1682"/>
      <c r="N85" s="1683"/>
      <c r="O85" s="1683"/>
      <c r="P85" s="1683"/>
      <c r="Q85" s="1577"/>
      <c r="R85" s="1628"/>
      <c r="S85" s="1628"/>
    </row>
    <row r="86" spans="1:19" x14ac:dyDescent="0.2">
      <c r="A86" s="1740"/>
      <c r="B86" s="1752" t="s">
        <v>748</v>
      </c>
      <c r="C86" s="1753">
        <v>5600</v>
      </c>
      <c r="D86" s="1740"/>
      <c r="E86" s="1740"/>
      <c r="F86" s="1740"/>
      <c r="G86" s="1740"/>
      <c r="H86" s="1740"/>
      <c r="I86" s="1740"/>
      <c r="J86" s="1740"/>
      <c r="K86" s="1740"/>
      <c r="L86" s="1682"/>
      <c r="M86" s="1682"/>
      <c r="N86" s="1683"/>
      <c r="O86" s="1683"/>
      <c r="P86" s="1683"/>
      <c r="Q86" s="1577"/>
      <c r="R86" s="1628"/>
      <c r="S86" s="1628"/>
    </row>
    <row r="87" spans="1:19" x14ac:dyDescent="0.2">
      <c r="A87" s="1740"/>
      <c r="B87" s="1752"/>
      <c r="C87" s="1740"/>
      <c r="D87" s="1740"/>
      <c r="E87" s="1740"/>
      <c r="F87" s="1740"/>
      <c r="G87" s="1740"/>
      <c r="H87" s="1740"/>
      <c r="I87" s="1740"/>
      <c r="J87" s="1740"/>
      <c r="K87" s="1740"/>
      <c r="L87" s="1682"/>
      <c r="M87" s="1682"/>
      <c r="N87" s="1683"/>
      <c r="O87" s="1683"/>
      <c r="P87" s="1683"/>
      <c r="Q87" s="1577"/>
      <c r="R87" s="1628"/>
      <c r="S87" s="1628"/>
    </row>
    <row r="88" spans="1:19" x14ac:dyDescent="0.2">
      <c r="A88" s="1740"/>
      <c r="B88" s="1745"/>
      <c r="C88" s="1745"/>
      <c r="D88" s="1740"/>
      <c r="E88" s="1740"/>
      <c r="F88" s="1740"/>
      <c r="G88" s="1740"/>
      <c r="H88" s="1740"/>
      <c r="I88" s="1740"/>
      <c r="J88" s="1740"/>
      <c r="K88" s="1740"/>
      <c r="L88" s="1682"/>
      <c r="M88" s="1709"/>
      <c r="N88" s="1683"/>
      <c r="O88" s="1683"/>
      <c r="P88" s="1683"/>
      <c r="Q88" s="1577"/>
      <c r="R88" s="1628"/>
      <c r="S88" s="1628"/>
    </row>
    <row r="89" spans="1:19" x14ac:dyDescent="0.2">
      <c r="A89" s="1740"/>
      <c r="B89" s="1742"/>
      <c r="C89" s="1741"/>
      <c r="D89" s="1740"/>
      <c r="E89" s="1740"/>
      <c r="F89" s="1740"/>
      <c r="G89" s="1740"/>
      <c r="H89" s="1740"/>
      <c r="I89" s="1740"/>
      <c r="J89" s="1740"/>
      <c r="K89" s="1740"/>
      <c r="L89" s="1682"/>
      <c r="M89" s="1709"/>
      <c r="N89" s="1683"/>
      <c r="O89" s="1683"/>
      <c r="P89" s="1683"/>
      <c r="Q89" s="1577"/>
      <c r="R89" s="1628"/>
      <c r="S89" s="1628"/>
    </row>
    <row r="90" spans="1:19" x14ac:dyDescent="0.2">
      <c r="A90" s="1742" t="s">
        <v>1244</v>
      </c>
      <c r="B90" s="1742" t="s">
        <v>1245</v>
      </c>
      <c r="C90" s="1741" t="s">
        <v>1246</v>
      </c>
      <c r="D90" s="1740"/>
      <c r="E90" s="1742" t="s">
        <v>956</v>
      </c>
      <c r="F90" s="1742" t="s">
        <v>957</v>
      </c>
      <c r="G90" s="1741"/>
      <c r="H90" s="1740"/>
      <c r="I90" s="1740"/>
      <c r="J90" s="1740"/>
      <c r="K90" s="1740"/>
      <c r="L90" s="1682"/>
      <c r="M90" s="1709"/>
      <c r="N90" s="1683"/>
      <c r="O90" s="1683"/>
      <c r="P90" s="1683"/>
      <c r="Q90" s="1577"/>
      <c r="R90" s="1628"/>
      <c r="S90" s="1628"/>
    </row>
    <row r="91" spans="1:19" x14ac:dyDescent="0.2">
      <c r="A91" s="1753">
        <v>1</v>
      </c>
      <c r="B91" s="1745" t="s">
        <v>1242</v>
      </c>
      <c r="C91" s="1744">
        <v>42000</v>
      </c>
      <c r="D91" s="1740"/>
      <c r="E91" s="1753">
        <v>1</v>
      </c>
      <c r="F91" s="1745" t="s">
        <v>958</v>
      </c>
      <c r="G91" s="1744"/>
      <c r="H91" s="1740"/>
      <c r="I91" s="1740"/>
      <c r="J91" s="1740"/>
      <c r="K91" s="1740"/>
      <c r="L91" s="1682"/>
      <c r="M91" s="1709"/>
      <c r="N91" s="1683"/>
      <c r="O91" s="1683"/>
      <c r="P91" s="1683"/>
      <c r="Q91" s="1577"/>
      <c r="R91" s="1628"/>
      <c r="S91" s="1628"/>
    </row>
    <row r="92" spans="1:19" x14ac:dyDescent="0.2">
      <c r="A92" s="1753">
        <v>2</v>
      </c>
      <c r="B92" s="1745" t="s">
        <v>1243</v>
      </c>
      <c r="C92" s="1744">
        <v>46200</v>
      </c>
      <c r="D92" s="1740"/>
      <c r="E92" s="1753">
        <v>2</v>
      </c>
      <c r="F92" s="1745" t="s">
        <v>959</v>
      </c>
      <c r="G92" s="1744"/>
      <c r="H92" s="1740"/>
      <c r="I92" s="1740"/>
      <c r="J92" s="1740"/>
      <c r="K92" s="1740"/>
      <c r="L92" s="1682"/>
      <c r="M92" s="1709"/>
      <c r="N92" s="1683"/>
      <c r="O92" s="1683"/>
      <c r="P92" s="1683"/>
      <c r="Q92" s="1577"/>
      <c r="R92" s="1628"/>
      <c r="S92" s="1628"/>
    </row>
    <row r="93" spans="1:19" x14ac:dyDescent="0.2">
      <c r="A93" s="1753"/>
      <c r="B93" s="1745"/>
      <c r="C93" s="1744"/>
      <c r="D93" s="1740"/>
      <c r="E93" s="1740"/>
      <c r="F93" s="1740"/>
      <c r="G93" s="1740"/>
      <c r="H93" s="1740"/>
      <c r="I93" s="1740"/>
      <c r="J93" s="1740"/>
      <c r="K93" s="1740"/>
      <c r="L93" s="1682"/>
      <c r="M93" s="1709"/>
      <c r="N93" s="1683"/>
      <c r="O93" s="1683"/>
      <c r="P93" s="1683"/>
      <c r="Q93" s="1577"/>
      <c r="R93" s="1628"/>
      <c r="S93" s="1628"/>
    </row>
    <row r="94" spans="1:19" x14ac:dyDescent="0.2">
      <c r="A94" s="1753"/>
      <c r="B94" s="1745"/>
      <c r="C94" s="1744"/>
      <c r="D94" s="1740"/>
      <c r="E94" s="1742" t="s">
        <v>960</v>
      </c>
      <c r="F94" s="1742" t="s">
        <v>961</v>
      </c>
      <c r="G94" s="1741"/>
      <c r="H94" s="1740"/>
      <c r="I94" s="1740"/>
      <c r="J94" s="1740"/>
      <c r="K94" s="1740"/>
      <c r="L94" s="1682"/>
      <c r="M94" s="1709"/>
      <c r="N94" s="1683"/>
      <c r="O94" s="1683"/>
      <c r="P94" s="1683"/>
      <c r="Q94" s="1577"/>
      <c r="R94" s="1628"/>
      <c r="S94" s="1628"/>
    </row>
    <row r="95" spans="1:19" x14ac:dyDescent="0.2">
      <c r="A95" s="1740"/>
      <c r="B95" s="1745"/>
      <c r="C95" s="1744"/>
      <c r="D95" s="1740"/>
      <c r="E95" s="1753">
        <v>1</v>
      </c>
      <c r="F95" s="1745" t="s">
        <v>962</v>
      </c>
      <c r="G95" s="1744"/>
      <c r="H95" s="1740"/>
      <c r="I95" s="1740"/>
      <c r="J95" s="1740"/>
      <c r="K95" s="1740"/>
      <c r="L95" s="1682"/>
      <c r="M95" s="1709"/>
      <c r="N95" s="1683"/>
      <c r="O95" s="1683"/>
      <c r="P95" s="1683"/>
      <c r="Q95" s="1577"/>
      <c r="R95" s="1628"/>
      <c r="S95" s="1628"/>
    </row>
    <row r="96" spans="1:19" x14ac:dyDescent="0.2">
      <c r="A96" s="1740"/>
      <c r="B96" s="1745" t="s">
        <v>1142</v>
      </c>
      <c r="C96" s="1744"/>
      <c r="D96" s="1740"/>
      <c r="E96" s="1753">
        <v>2</v>
      </c>
      <c r="F96" s="1745" t="s">
        <v>963</v>
      </c>
      <c r="G96" s="1744"/>
      <c r="H96" s="1740"/>
      <c r="I96" s="1740"/>
      <c r="J96" s="1740"/>
      <c r="K96" s="1740"/>
      <c r="L96" s="1682"/>
      <c r="M96" s="1709"/>
      <c r="N96" s="1683"/>
      <c r="O96" s="1683"/>
      <c r="P96" s="1683"/>
      <c r="Q96" s="1577"/>
      <c r="R96" s="1628"/>
      <c r="S96" s="1628"/>
    </row>
    <row r="97" spans="1:19" x14ac:dyDescent="0.2">
      <c r="A97" s="1740"/>
      <c r="B97" s="1744" t="s">
        <v>1108</v>
      </c>
      <c r="C97" s="1744">
        <v>10500</v>
      </c>
      <c r="D97" s="1740"/>
      <c r="E97" s="1740"/>
      <c r="F97" s="1740"/>
      <c r="G97" s="1740"/>
      <c r="H97" s="1740"/>
      <c r="I97" s="1740"/>
      <c r="J97" s="1740"/>
      <c r="K97" s="1740"/>
      <c r="L97" s="1682"/>
      <c r="M97" s="1709"/>
      <c r="N97" s="1683"/>
      <c r="O97" s="1683"/>
      <c r="P97" s="1683"/>
      <c r="Q97" s="1577"/>
      <c r="R97" s="1628"/>
      <c r="S97" s="1628"/>
    </row>
    <row r="98" spans="1:19" x14ac:dyDescent="0.2">
      <c r="A98" s="1740"/>
      <c r="B98" s="1744" t="s">
        <v>1109</v>
      </c>
      <c r="C98" s="1753">
        <v>4375</v>
      </c>
      <c r="D98" s="1740"/>
      <c r="E98" s="1740"/>
      <c r="F98" s="1740"/>
      <c r="G98" s="1740"/>
      <c r="H98" s="1740"/>
      <c r="I98" s="1740"/>
      <c r="J98" s="1740"/>
      <c r="K98" s="1740"/>
      <c r="L98" s="1682"/>
      <c r="M98" s="1709"/>
      <c r="N98" s="1683"/>
      <c r="O98" s="1683"/>
      <c r="P98" s="1683"/>
      <c r="Q98" s="1577"/>
      <c r="R98" s="1628"/>
      <c r="S98" s="1628"/>
    </row>
    <row r="99" spans="1:19" x14ac:dyDescent="0.2">
      <c r="A99" s="1740"/>
      <c r="B99" s="1744" t="s">
        <v>1110</v>
      </c>
      <c r="C99" s="1753">
        <v>5250</v>
      </c>
      <c r="D99" s="1740"/>
      <c r="E99" s="1740"/>
      <c r="F99" s="1740"/>
      <c r="G99" s="1740"/>
      <c r="H99" s="1740"/>
      <c r="I99" s="1740"/>
      <c r="J99" s="1740"/>
      <c r="K99" s="1740"/>
      <c r="L99" s="1682"/>
      <c r="M99" s="1709"/>
      <c r="N99" s="1683"/>
      <c r="O99" s="1683"/>
      <c r="P99" s="1683"/>
      <c r="Q99" s="1577"/>
      <c r="R99" s="1628"/>
      <c r="S99" s="1628"/>
    </row>
    <row r="100" spans="1:19" x14ac:dyDescent="0.2">
      <c r="A100" s="1740"/>
      <c r="B100" s="1745"/>
      <c r="C100" s="1744"/>
      <c r="D100" s="1740"/>
      <c r="E100" s="1740"/>
      <c r="F100" s="1740"/>
      <c r="G100" s="1740"/>
      <c r="H100" s="1740"/>
      <c r="I100" s="1740"/>
      <c r="J100" s="1740"/>
      <c r="K100" s="1740"/>
      <c r="L100" s="1682"/>
      <c r="M100" s="1709"/>
      <c r="N100" s="1683"/>
      <c r="O100" s="1683"/>
      <c r="P100" s="1683"/>
      <c r="Q100" s="1577"/>
      <c r="R100" s="1628"/>
      <c r="S100" s="1628"/>
    </row>
    <row r="101" spans="1:19" x14ac:dyDescent="0.2">
      <c r="A101" s="1742" t="s">
        <v>1144</v>
      </c>
      <c r="B101" s="1742" t="s">
        <v>1143</v>
      </c>
      <c r="C101" s="1741" t="s">
        <v>1145</v>
      </c>
      <c r="D101" s="1740"/>
      <c r="E101" s="1740"/>
      <c r="F101" s="1740"/>
      <c r="G101" s="1740"/>
      <c r="H101" s="1740"/>
      <c r="I101" s="1740"/>
      <c r="J101" s="1740"/>
      <c r="K101" s="1740"/>
      <c r="L101" s="1682"/>
      <c r="M101" s="1709"/>
      <c r="N101" s="1683"/>
      <c r="O101" s="1683"/>
      <c r="P101" s="1683"/>
      <c r="Q101" s="1577"/>
      <c r="R101" s="1628"/>
      <c r="S101" s="1628"/>
    </row>
    <row r="102" spans="1:19" x14ac:dyDescent="0.2">
      <c r="A102" s="1753">
        <v>1</v>
      </c>
      <c r="B102" s="1745" t="s">
        <v>1149</v>
      </c>
      <c r="C102" s="1744">
        <v>50400</v>
      </c>
      <c r="D102" s="1740"/>
      <c r="E102" s="1740"/>
      <c r="F102" s="1740"/>
      <c r="G102" s="1740"/>
      <c r="H102" s="1740"/>
      <c r="I102" s="1740"/>
      <c r="J102" s="1740"/>
      <c r="K102" s="1740"/>
      <c r="L102" s="1682"/>
      <c r="M102" s="1709"/>
      <c r="N102" s="1683"/>
      <c r="O102" s="1683"/>
      <c r="P102" s="1683"/>
      <c r="Q102" s="1628"/>
      <c r="R102" s="1628"/>
      <c r="S102" s="1628"/>
    </row>
    <row r="103" spans="1:19" x14ac:dyDescent="0.2">
      <c r="A103" s="1753">
        <v>2</v>
      </c>
      <c r="B103" s="1745" t="s">
        <v>1150</v>
      </c>
      <c r="C103" s="1744">
        <v>60200</v>
      </c>
      <c r="D103" s="1740"/>
      <c r="E103" s="1740"/>
      <c r="F103" s="1740"/>
      <c r="G103" s="1740"/>
      <c r="H103" s="1740"/>
      <c r="I103" s="1740"/>
      <c r="J103" s="1740"/>
      <c r="K103" s="1740"/>
      <c r="L103" s="1682"/>
      <c r="M103" s="1709"/>
      <c r="N103" s="1683"/>
      <c r="O103" s="1683"/>
      <c r="P103" s="1683"/>
      <c r="Q103" s="1628"/>
      <c r="R103" s="1628"/>
      <c r="S103" s="1628"/>
    </row>
    <row r="104" spans="1:19" x14ac:dyDescent="0.2">
      <c r="A104" s="1753"/>
      <c r="B104" s="1745"/>
      <c r="C104" s="1744"/>
      <c r="D104" s="1740"/>
      <c r="E104" s="1740"/>
      <c r="F104" s="1740"/>
      <c r="G104" s="1740"/>
      <c r="H104" s="1740"/>
      <c r="I104" s="1740"/>
      <c r="J104" s="1740"/>
      <c r="K104" s="1740"/>
      <c r="L104" s="1682"/>
      <c r="M104" s="1709"/>
      <c r="N104" s="1683"/>
      <c r="O104" s="1683"/>
      <c r="P104" s="1683"/>
      <c r="Q104" s="1628"/>
      <c r="R104" s="1628"/>
      <c r="S104" s="1628"/>
    </row>
    <row r="105" spans="1:19" x14ac:dyDescent="0.2">
      <c r="A105" s="1753"/>
      <c r="B105" s="1745"/>
      <c r="C105" s="1744"/>
      <c r="D105" s="1740"/>
      <c r="E105" s="1740"/>
      <c r="F105" s="1740"/>
      <c r="G105" s="1740"/>
      <c r="H105" s="1740"/>
      <c r="I105" s="1740"/>
      <c r="J105" s="1740"/>
      <c r="K105" s="1740"/>
      <c r="L105" s="1682"/>
      <c r="M105" s="1709"/>
      <c r="N105" s="1683"/>
      <c r="O105" s="1683"/>
      <c r="P105" s="1683"/>
      <c r="Q105" s="1628"/>
      <c r="R105" s="1628"/>
      <c r="S105" s="1628"/>
    </row>
    <row r="106" spans="1:19" x14ac:dyDescent="0.2">
      <c r="A106" s="1740"/>
      <c r="B106" s="1745"/>
      <c r="C106" s="1745"/>
      <c r="D106" s="1740"/>
      <c r="E106" s="1740"/>
      <c r="F106" s="1740"/>
      <c r="G106" s="1740"/>
      <c r="H106" s="1740"/>
      <c r="I106" s="1740"/>
      <c r="J106" s="1740"/>
      <c r="K106" s="1740"/>
      <c r="L106" s="1682"/>
      <c r="M106" s="1709"/>
      <c r="N106" s="1683"/>
      <c r="O106" s="1683"/>
      <c r="P106" s="1683"/>
      <c r="Q106" s="1628"/>
      <c r="R106" s="1628"/>
      <c r="S106" s="1628"/>
    </row>
    <row r="107" spans="1:19" x14ac:dyDescent="0.2">
      <c r="A107" s="1740"/>
      <c r="B107" s="1745"/>
      <c r="C107" s="1745"/>
      <c r="D107" s="1740"/>
      <c r="E107" s="1740"/>
      <c r="F107" s="1740"/>
      <c r="G107" s="1740"/>
      <c r="H107" s="1740"/>
      <c r="I107" s="1740"/>
      <c r="J107" s="1740"/>
      <c r="K107" s="1740"/>
      <c r="L107" s="1682"/>
      <c r="M107" s="1709"/>
      <c r="N107" s="1683"/>
      <c r="O107" s="1683"/>
      <c r="P107" s="1683"/>
      <c r="Q107" s="1628"/>
      <c r="R107" s="1628"/>
      <c r="S107" s="1628"/>
    </row>
    <row r="108" spans="1:19" x14ac:dyDescent="0.2">
      <c r="A108" s="1742" t="s">
        <v>1146</v>
      </c>
      <c r="B108" s="1742" t="s">
        <v>1147</v>
      </c>
      <c r="C108" s="1741" t="s">
        <v>1148</v>
      </c>
      <c r="D108" s="1740"/>
      <c r="E108" s="1740"/>
      <c r="F108" s="1740"/>
      <c r="G108" s="1740"/>
      <c r="H108" s="1740"/>
      <c r="I108" s="1740"/>
      <c r="J108" s="1740"/>
      <c r="K108" s="1740"/>
      <c r="L108" s="1682"/>
      <c r="M108" s="1709"/>
      <c r="N108" s="1683"/>
      <c r="O108" s="1683"/>
      <c r="P108" s="1683"/>
      <c r="Q108" s="1628"/>
      <c r="R108" s="1628"/>
      <c r="S108" s="1628"/>
    </row>
    <row r="109" spans="1:19" x14ac:dyDescent="0.2">
      <c r="A109" s="1753">
        <v>1</v>
      </c>
      <c r="B109" s="1745" t="s">
        <v>1151</v>
      </c>
      <c r="C109" s="1744">
        <v>58800</v>
      </c>
      <c r="D109" s="1740"/>
      <c r="E109" s="1740"/>
      <c r="F109" s="1740"/>
      <c r="G109" s="1740"/>
      <c r="H109" s="1740"/>
      <c r="I109" s="1740"/>
      <c r="J109" s="1740"/>
      <c r="K109" s="1740"/>
      <c r="L109" s="1682"/>
      <c r="M109" s="1709"/>
      <c r="N109" s="1683"/>
      <c r="O109" s="1683"/>
      <c r="P109" s="1683"/>
      <c r="Q109" s="1628"/>
      <c r="R109" s="1628"/>
      <c r="S109" s="1628"/>
    </row>
    <row r="110" spans="1:19" x14ac:dyDescent="0.2">
      <c r="A110" s="1753">
        <v>2</v>
      </c>
      <c r="B110" s="1745" t="s">
        <v>1152</v>
      </c>
      <c r="C110" s="1744">
        <v>63000</v>
      </c>
      <c r="D110" s="1740"/>
      <c r="E110" s="1740"/>
      <c r="F110" s="1740"/>
      <c r="G110" s="1740"/>
      <c r="H110" s="1740"/>
      <c r="I110" s="1740"/>
      <c r="J110" s="1740"/>
      <c r="K110" s="1740"/>
      <c r="L110" s="1682"/>
      <c r="M110" s="1709"/>
      <c r="N110" s="1683"/>
      <c r="O110" s="1683"/>
      <c r="P110" s="1683"/>
      <c r="Q110" s="1628"/>
      <c r="R110" s="1628"/>
      <c r="S110" s="1628"/>
    </row>
    <row r="111" spans="1:19" x14ac:dyDescent="0.2">
      <c r="A111" s="1753"/>
      <c r="B111" s="1745"/>
      <c r="C111" s="1744"/>
      <c r="D111" s="1740"/>
      <c r="E111" s="1740"/>
      <c r="F111" s="1740"/>
      <c r="G111" s="1740"/>
      <c r="H111" s="1740"/>
      <c r="I111" s="1740"/>
      <c r="J111" s="1740"/>
      <c r="K111" s="1740"/>
      <c r="L111" s="1682"/>
      <c r="M111" s="1709"/>
      <c r="N111" s="1683"/>
      <c r="O111" s="1683"/>
      <c r="P111" s="1683"/>
      <c r="Q111" s="1628"/>
      <c r="R111" s="1628"/>
      <c r="S111" s="1628"/>
    </row>
    <row r="112" spans="1:19" x14ac:dyDescent="0.2">
      <c r="A112" s="1753"/>
      <c r="B112" s="1745"/>
      <c r="C112" s="1744"/>
      <c r="D112" s="1740"/>
      <c r="E112" s="1740"/>
      <c r="F112" s="1740"/>
      <c r="G112" s="1740"/>
      <c r="H112" s="1740"/>
      <c r="I112" s="1740"/>
      <c r="J112" s="1740"/>
      <c r="K112" s="1740"/>
      <c r="L112" s="1682"/>
      <c r="M112" s="1709"/>
      <c r="N112" s="1683"/>
      <c r="O112" s="1683"/>
      <c r="P112" s="1683"/>
      <c r="Q112" s="1628"/>
      <c r="R112" s="1628"/>
      <c r="S112" s="1628"/>
    </row>
    <row r="113" spans="1:19" x14ac:dyDescent="0.2">
      <c r="A113" s="1740"/>
      <c r="B113" s="1740"/>
      <c r="C113" s="1740"/>
      <c r="D113" s="1740"/>
      <c r="E113" s="1740"/>
      <c r="F113" s="1740"/>
      <c r="G113" s="1740"/>
      <c r="H113" s="1740"/>
      <c r="I113" s="1740"/>
      <c r="J113" s="1740"/>
      <c r="K113" s="1740"/>
      <c r="L113" s="1682"/>
      <c r="M113" s="1709"/>
      <c r="N113" s="1683"/>
      <c r="O113" s="1683"/>
      <c r="P113" s="1683"/>
      <c r="Q113" s="1628"/>
      <c r="R113" s="1628"/>
      <c r="S113" s="1628"/>
    </row>
    <row r="114" spans="1:19" x14ac:dyDescent="0.2">
      <c r="A114" s="1754" t="s">
        <v>80</v>
      </c>
      <c r="B114" s="1755" t="s">
        <v>592</v>
      </c>
      <c r="C114" s="1748" t="s">
        <v>81</v>
      </c>
      <c r="D114" s="1756"/>
      <c r="E114" s="1756"/>
      <c r="F114" s="1756"/>
      <c r="G114" s="1756"/>
      <c r="H114" s="1756"/>
      <c r="I114" s="1756"/>
      <c r="J114" s="1756"/>
      <c r="K114" s="1756"/>
      <c r="L114" s="1709"/>
      <c r="M114" s="1709"/>
      <c r="N114" s="1683"/>
      <c r="O114" s="1683"/>
      <c r="P114" s="1683"/>
      <c r="Q114" s="1628"/>
      <c r="R114" s="1628"/>
      <c r="S114" s="1628"/>
    </row>
    <row r="115" spans="1:19" x14ac:dyDescent="0.2">
      <c r="A115" s="1757">
        <v>1</v>
      </c>
      <c r="B115" s="1745" t="s">
        <v>82</v>
      </c>
      <c r="C115" s="1745">
        <v>33600</v>
      </c>
      <c r="D115" s="1756"/>
      <c r="E115" s="1756"/>
      <c r="F115" s="1756"/>
      <c r="G115" s="1756"/>
      <c r="H115" s="1756"/>
      <c r="I115" s="1756"/>
      <c r="J115" s="1756"/>
      <c r="K115" s="1756"/>
      <c r="L115" s="1709"/>
      <c r="M115" s="1709"/>
      <c r="N115" s="1683"/>
      <c r="O115" s="1683"/>
      <c r="P115" s="1683"/>
      <c r="Q115" s="1628"/>
      <c r="R115" s="1628"/>
      <c r="S115" s="1628"/>
    </row>
    <row r="116" spans="1:19" x14ac:dyDescent="0.2">
      <c r="A116" s="1757">
        <v>2</v>
      </c>
      <c r="B116" s="1745" t="s">
        <v>83</v>
      </c>
      <c r="C116" s="1745">
        <v>44800</v>
      </c>
      <c r="D116" s="1756"/>
      <c r="E116" s="1756"/>
      <c r="F116" s="1758"/>
      <c r="G116" s="1758"/>
      <c r="H116" s="1758"/>
      <c r="I116" s="1758"/>
      <c r="J116" s="1758"/>
      <c r="K116" s="1758"/>
      <c r="L116" s="1683"/>
      <c r="M116" s="1683"/>
      <c r="N116" s="1683"/>
      <c r="O116" s="1683"/>
      <c r="P116" s="1683"/>
      <c r="Q116" s="1628"/>
      <c r="R116" s="1628"/>
      <c r="S116" s="1628"/>
    </row>
    <row r="117" spans="1:19" x14ac:dyDescent="0.2">
      <c r="A117" s="1756"/>
      <c r="B117" s="1756"/>
      <c r="C117" s="1756"/>
      <c r="D117" s="1756"/>
      <c r="E117" s="1756"/>
      <c r="F117" s="1758"/>
      <c r="G117" s="1758"/>
      <c r="H117" s="1758"/>
      <c r="I117" s="1758"/>
      <c r="J117" s="1758"/>
      <c r="K117" s="1758"/>
      <c r="L117" s="1683"/>
      <c r="M117" s="1683"/>
      <c r="N117" s="1683"/>
      <c r="O117" s="1683"/>
      <c r="P117" s="1683"/>
      <c r="Q117" s="1628"/>
      <c r="R117" s="1628"/>
      <c r="S117" s="1628"/>
    </row>
    <row r="118" spans="1:19" x14ac:dyDescent="0.2">
      <c r="A118" s="1759" t="s">
        <v>75</v>
      </c>
      <c r="B118" s="1760" t="s">
        <v>76</v>
      </c>
      <c r="C118" s="1759" t="s">
        <v>77</v>
      </c>
      <c r="D118" s="1759" t="s">
        <v>79</v>
      </c>
      <c r="E118" s="1759" t="s">
        <v>719</v>
      </c>
      <c r="F118" s="1759" t="s">
        <v>720</v>
      </c>
      <c r="G118" s="1761" t="s">
        <v>721</v>
      </c>
      <c r="H118" s="1758"/>
      <c r="I118" s="1758"/>
      <c r="J118" s="1758"/>
      <c r="K118" s="1758"/>
      <c r="L118" s="1683"/>
      <c r="M118" s="1683"/>
      <c r="N118" s="1683"/>
      <c r="O118" s="1683"/>
      <c r="P118" s="1683"/>
      <c r="Q118" s="1628"/>
      <c r="R118" s="1628"/>
      <c r="S118" s="1628"/>
    </row>
    <row r="119" spans="1:19" x14ac:dyDescent="0.2">
      <c r="A119" s="1757">
        <v>1</v>
      </c>
      <c r="B119" s="1754" t="s">
        <v>78</v>
      </c>
      <c r="C119" s="1762">
        <v>0</v>
      </c>
      <c r="D119" s="1763">
        <v>0</v>
      </c>
      <c r="E119" s="1756">
        <v>0</v>
      </c>
      <c r="F119" s="1758">
        <v>0</v>
      </c>
      <c r="G119" s="1763">
        <v>0</v>
      </c>
      <c r="H119" s="1758"/>
      <c r="I119" s="1758"/>
      <c r="J119" s="1758"/>
      <c r="K119" s="1758"/>
      <c r="L119" s="1683"/>
      <c r="M119" s="1683"/>
      <c r="N119" s="1683"/>
      <c r="O119" s="1683"/>
      <c r="P119" s="1683"/>
      <c r="Q119" s="1628"/>
      <c r="R119" s="1628"/>
      <c r="S119" s="1628"/>
    </row>
    <row r="120" spans="1:19" x14ac:dyDescent="0.2">
      <c r="A120" s="1757">
        <v>2</v>
      </c>
      <c r="B120" s="1754" t="s">
        <v>822</v>
      </c>
      <c r="C120" s="1762">
        <v>15400</v>
      </c>
      <c r="D120" s="1763">
        <v>1</v>
      </c>
      <c r="E120" s="1756">
        <v>0</v>
      </c>
      <c r="F120" s="1758">
        <v>1400</v>
      </c>
      <c r="G120" s="1763">
        <v>1</v>
      </c>
      <c r="H120" s="1758"/>
      <c r="I120" s="1758"/>
      <c r="J120" s="1758"/>
      <c r="K120" s="1758"/>
      <c r="L120" s="1683"/>
      <c r="M120" s="1683"/>
      <c r="N120" s="1683"/>
      <c r="O120" s="1683"/>
      <c r="P120" s="1683"/>
      <c r="Q120" s="1628"/>
      <c r="R120" s="1628"/>
      <c r="S120" s="1628"/>
    </row>
    <row r="121" spans="1:19" x14ac:dyDescent="0.2">
      <c r="A121" s="1757">
        <v>3</v>
      </c>
      <c r="B121" s="1754" t="s">
        <v>823</v>
      </c>
      <c r="C121" s="1762">
        <v>16800</v>
      </c>
      <c r="D121" s="1763">
        <v>1</v>
      </c>
      <c r="E121" s="1756">
        <v>1400</v>
      </c>
      <c r="F121" s="1758">
        <v>1400</v>
      </c>
      <c r="G121" s="1763">
        <v>2</v>
      </c>
      <c r="H121" s="1758"/>
      <c r="I121" s="1758"/>
      <c r="J121" s="1758"/>
      <c r="K121" s="1758"/>
      <c r="L121" s="1683"/>
      <c r="M121" s="1683"/>
      <c r="N121" s="1683"/>
      <c r="O121" s="1683"/>
      <c r="P121" s="1683"/>
      <c r="Q121" s="1628"/>
      <c r="R121" s="1628"/>
      <c r="S121" s="1628"/>
    </row>
    <row r="122" spans="1:19" x14ac:dyDescent="0.2">
      <c r="A122" s="1757">
        <v>4</v>
      </c>
      <c r="B122" s="1754" t="s">
        <v>824</v>
      </c>
      <c r="C122" s="1762">
        <v>16800</v>
      </c>
      <c r="D122" s="1763">
        <v>1</v>
      </c>
      <c r="E122" s="1756">
        <v>0</v>
      </c>
      <c r="F122" s="1758">
        <v>1400</v>
      </c>
      <c r="G122" s="1763">
        <v>1</v>
      </c>
      <c r="H122" s="1758"/>
      <c r="I122" s="1758"/>
      <c r="J122" s="1758"/>
      <c r="K122" s="1758"/>
      <c r="L122" s="1683"/>
      <c r="M122" s="1683"/>
      <c r="N122" s="1683"/>
      <c r="O122" s="1683"/>
      <c r="P122" s="1683"/>
      <c r="Q122" s="1628"/>
      <c r="R122" s="1628"/>
      <c r="S122" s="1628"/>
    </row>
    <row r="123" spans="1:19" x14ac:dyDescent="0.2">
      <c r="A123" s="1757">
        <v>5</v>
      </c>
      <c r="B123" s="1754" t="s">
        <v>332</v>
      </c>
      <c r="C123" s="1762">
        <v>18900</v>
      </c>
      <c r="D123" s="1763">
        <v>1</v>
      </c>
      <c r="E123" s="1756">
        <v>2100</v>
      </c>
      <c r="F123" s="1758">
        <v>1400</v>
      </c>
      <c r="G123" s="1763">
        <v>2</v>
      </c>
      <c r="H123" s="1758"/>
      <c r="I123" s="1758"/>
      <c r="J123" s="1758"/>
      <c r="K123" s="1758"/>
      <c r="L123" s="1683"/>
      <c r="M123" s="1683"/>
      <c r="N123" s="1683"/>
      <c r="O123" s="1683"/>
      <c r="P123" s="1683"/>
      <c r="Q123" s="1628"/>
      <c r="R123" s="1628"/>
      <c r="S123" s="1628"/>
    </row>
    <row r="124" spans="1:19" x14ac:dyDescent="0.2">
      <c r="A124" s="1757">
        <v>6</v>
      </c>
      <c r="B124" s="1754" t="s">
        <v>333</v>
      </c>
      <c r="C124" s="1762">
        <v>13440</v>
      </c>
      <c r="D124" s="1763">
        <v>1</v>
      </c>
      <c r="E124" s="1756">
        <v>1400</v>
      </c>
      <c r="F124" s="1758">
        <v>1400</v>
      </c>
      <c r="G124" s="1763">
        <v>2</v>
      </c>
      <c r="H124" s="1758"/>
      <c r="I124" s="1758"/>
      <c r="J124" s="1758"/>
      <c r="K124" s="1758"/>
      <c r="L124" s="1683"/>
      <c r="M124" s="1683"/>
      <c r="N124" s="1683"/>
      <c r="O124" s="1683"/>
      <c r="P124" s="1683"/>
      <c r="Q124" s="1628"/>
      <c r="R124" s="1628"/>
      <c r="S124" s="1628"/>
    </row>
    <row r="125" spans="1:19" x14ac:dyDescent="0.2">
      <c r="A125" s="1757">
        <v>7</v>
      </c>
      <c r="B125" s="1754" t="s">
        <v>334</v>
      </c>
      <c r="C125" s="1762">
        <v>13440</v>
      </c>
      <c r="D125" s="1763">
        <v>1</v>
      </c>
      <c r="E125" s="1756">
        <v>1400</v>
      </c>
      <c r="F125" s="1758">
        <v>1400</v>
      </c>
      <c r="G125" s="1763">
        <v>2</v>
      </c>
      <c r="H125" s="1758"/>
      <c r="I125" s="1758"/>
      <c r="J125" s="1758"/>
      <c r="K125" s="1758"/>
      <c r="L125" s="1683"/>
      <c r="M125" s="1683"/>
      <c r="N125" s="1683"/>
      <c r="O125" s="1683"/>
      <c r="P125" s="1683"/>
      <c r="Q125" s="1628"/>
      <c r="R125" s="1628"/>
      <c r="S125" s="1628"/>
    </row>
    <row r="126" spans="1:19" x14ac:dyDescent="0.2">
      <c r="A126" s="1757">
        <v>8</v>
      </c>
      <c r="B126" s="1754" t="s">
        <v>335</v>
      </c>
      <c r="C126" s="1762">
        <v>16800</v>
      </c>
      <c r="D126" s="1763">
        <v>1</v>
      </c>
      <c r="E126" s="1756">
        <v>1960</v>
      </c>
      <c r="F126" s="1758">
        <v>1400</v>
      </c>
      <c r="G126" s="1763">
        <v>2</v>
      </c>
      <c r="H126" s="1758"/>
      <c r="I126" s="1758"/>
      <c r="J126" s="1758"/>
      <c r="K126" s="1758"/>
      <c r="L126" s="1683"/>
      <c r="M126" s="1683"/>
      <c r="N126" s="1683"/>
      <c r="O126" s="1683"/>
      <c r="P126" s="1683"/>
      <c r="Q126" s="1628"/>
      <c r="R126" s="1628"/>
      <c r="S126" s="1628"/>
    </row>
    <row r="127" spans="1:19" x14ac:dyDescent="0.2">
      <c r="A127" s="1757">
        <v>9</v>
      </c>
      <c r="B127" s="1754" t="s">
        <v>336</v>
      </c>
      <c r="C127" s="1762">
        <v>21840</v>
      </c>
      <c r="D127" s="1763">
        <v>1</v>
      </c>
      <c r="E127" s="1756">
        <v>2380</v>
      </c>
      <c r="F127" s="1758">
        <v>1400</v>
      </c>
      <c r="G127" s="1763">
        <v>2</v>
      </c>
      <c r="H127" s="1758"/>
      <c r="I127" s="1758"/>
      <c r="J127" s="1758"/>
      <c r="K127" s="1758"/>
      <c r="L127" s="1683"/>
      <c r="M127" s="1683"/>
      <c r="N127" s="1683"/>
      <c r="O127" s="1683"/>
      <c r="P127" s="1683"/>
      <c r="Q127" s="1628"/>
      <c r="R127" s="1628"/>
      <c r="S127" s="1628"/>
    </row>
    <row r="128" spans="1:19" x14ac:dyDescent="0.2">
      <c r="A128" s="1757">
        <v>10</v>
      </c>
      <c r="B128" s="1754" t="s">
        <v>337</v>
      </c>
      <c r="C128" s="1762">
        <v>21840</v>
      </c>
      <c r="D128" s="1763">
        <v>1</v>
      </c>
      <c r="E128" s="1756">
        <v>2380</v>
      </c>
      <c r="F128" s="1758">
        <v>1400</v>
      </c>
      <c r="G128" s="1763">
        <v>2</v>
      </c>
      <c r="H128" s="1758"/>
      <c r="I128" s="1758"/>
      <c r="J128" s="1758"/>
      <c r="K128" s="1758"/>
      <c r="L128" s="1683"/>
      <c r="M128" s="1683"/>
      <c r="N128" s="1683"/>
      <c r="O128" s="1683"/>
      <c r="P128" s="1683"/>
      <c r="Q128" s="1628"/>
      <c r="R128" s="1628"/>
      <c r="S128" s="1628"/>
    </row>
    <row r="129" spans="1:19" x14ac:dyDescent="0.2">
      <c r="A129" s="1757">
        <v>11</v>
      </c>
      <c r="B129" s="1754" t="s">
        <v>338</v>
      </c>
      <c r="C129" s="1762">
        <v>26880</v>
      </c>
      <c r="D129" s="1763">
        <v>1</v>
      </c>
      <c r="E129" s="1756">
        <v>3640</v>
      </c>
      <c r="F129" s="1758">
        <v>2100</v>
      </c>
      <c r="G129" s="1763">
        <v>2</v>
      </c>
      <c r="H129" s="1758"/>
      <c r="I129" s="1758"/>
      <c r="J129" s="1758"/>
      <c r="K129" s="1758"/>
      <c r="L129" s="1683"/>
      <c r="M129" s="1683"/>
      <c r="N129" s="1683"/>
      <c r="O129" s="1683"/>
      <c r="P129" s="1683"/>
      <c r="Q129" s="1628"/>
      <c r="R129" s="1628"/>
      <c r="S129" s="1628"/>
    </row>
    <row r="130" spans="1:19" x14ac:dyDescent="0.2">
      <c r="A130" s="1757">
        <v>12</v>
      </c>
      <c r="B130" s="1754" t="s">
        <v>339</v>
      </c>
      <c r="C130" s="1762">
        <v>39200</v>
      </c>
      <c r="D130" s="1763">
        <v>1</v>
      </c>
      <c r="E130" s="1756">
        <v>5600</v>
      </c>
      <c r="F130" s="1758">
        <v>2100</v>
      </c>
      <c r="G130" s="1763">
        <v>2</v>
      </c>
      <c r="H130" s="1758"/>
      <c r="I130" s="1758"/>
      <c r="J130" s="1758"/>
      <c r="K130" s="1758"/>
      <c r="L130" s="1683"/>
      <c r="M130" s="1683"/>
      <c r="N130" s="1683"/>
      <c r="O130" s="1683"/>
      <c r="P130" s="1683"/>
      <c r="Q130" s="1628"/>
      <c r="R130" s="1628"/>
      <c r="S130" s="1628"/>
    </row>
    <row r="131" spans="1:19" x14ac:dyDescent="0.2">
      <c r="A131" s="1757">
        <v>13</v>
      </c>
      <c r="B131" s="1754" t="s">
        <v>340</v>
      </c>
      <c r="C131" s="1762">
        <v>30800</v>
      </c>
      <c r="D131" s="1763">
        <v>1</v>
      </c>
      <c r="E131" s="1756">
        <v>5600</v>
      </c>
      <c r="F131" s="1758">
        <v>2100</v>
      </c>
      <c r="G131" s="1763">
        <v>2</v>
      </c>
      <c r="H131" s="1758"/>
      <c r="I131" s="1758"/>
      <c r="J131" s="1758"/>
      <c r="K131" s="1758"/>
      <c r="L131" s="1683"/>
      <c r="M131" s="1683"/>
      <c r="N131" s="1683"/>
      <c r="O131" s="1683"/>
      <c r="P131" s="1683"/>
      <c r="Q131" s="1628"/>
      <c r="R131" s="1628"/>
      <c r="S131" s="1628"/>
    </row>
    <row r="132" spans="1:19" x14ac:dyDescent="0.2">
      <c r="A132" s="1757">
        <v>14</v>
      </c>
      <c r="B132" s="1754" t="s">
        <v>341</v>
      </c>
      <c r="C132" s="1762">
        <v>21000</v>
      </c>
      <c r="D132" s="1763">
        <v>1</v>
      </c>
      <c r="E132" s="1756">
        <v>0</v>
      </c>
      <c r="F132" s="1758">
        <v>2100</v>
      </c>
      <c r="G132" s="1763">
        <v>1</v>
      </c>
      <c r="H132" s="1758"/>
      <c r="I132" s="1758"/>
      <c r="J132" s="1758"/>
      <c r="K132" s="1758"/>
      <c r="L132" s="1683"/>
      <c r="M132" s="1683"/>
      <c r="N132" s="1683"/>
      <c r="O132" s="1683"/>
      <c r="P132" s="1683"/>
      <c r="Q132" s="1628"/>
      <c r="R132" s="1628"/>
      <c r="S132" s="1628"/>
    </row>
    <row r="133" spans="1:19" x14ac:dyDescent="0.2">
      <c r="A133" s="1757">
        <v>15</v>
      </c>
      <c r="B133" s="1754" t="s">
        <v>342</v>
      </c>
      <c r="C133" s="1762">
        <v>56000</v>
      </c>
      <c r="D133" s="1763">
        <v>1</v>
      </c>
      <c r="E133" s="1756">
        <v>9800</v>
      </c>
      <c r="F133" s="1758">
        <v>2100</v>
      </c>
      <c r="G133" s="1763">
        <v>2</v>
      </c>
      <c r="H133" s="1758"/>
      <c r="I133" s="1758"/>
      <c r="J133" s="1758"/>
      <c r="K133" s="1758"/>
      <c r="L133" s="1683"/>
      <c r="M133" s="1683"/>
      <c r="N133" s="1683"/>
      <c r="O133" s="1683"/>
      <c r="P133" s="1683"/>
      <c r="Q133" s="1628"/>
      <c r="R133" s="1628"/>
      <c r="S133" s="1628"/>
    </row>
    <row r="134" spans="1:19" x14ac:dyDescent="0.2">
      <c r="A134" s="1757">
        <v>16</v>
      </c>
      <c r="B134" s="1754" t="s">
        <v>343</v>
      </c>
      <c r="C134" s="1762">
        <v>33600</v>
      </c>
      <c r="D134" s="1763">
        <v>1</v>
      </c>
      <c r="E134" s="1756">
        <v>9800</v>
      </c>
      <c r="F134" s="1758">
        <v>2100</v>
      </c>
      <c r="G134" s="1763">
        <v>2</v>
      </c>
      <c r="H134" s="1758"/>
      <c r="I134" s="1758"/>
      <c r="J134" s="1758"/>
      <c r="K134" s="1758"/>
      <c r="L134" s="1683"/>
      <c r="M134" s="1683"/>
      <c r="N134" s="1683"/>
      <c r="O134" s="1683"/>
      <c r="P134" s="1683"/>
      <c r="Q134" s="1628"/>
      <c r="R134" s="1628"/>
      <c r="S134" s="1628"/>
    </row>
    <row r="135" spans="1:19" x14ac:dyDescent="0.2">
      <c r="A135" s="1757">
        <v>17</v>
      </c>
      <c r="B135" s="1754" t="s">
        <v>344</v>
      </c>
      <c r="C135" s="1762">
        <v>25200</v>
      </c>
      <c r="D135" s="1763">
        <v>1</v>
      </c>
      <c r="E135" s="1756">
        <v>0</v>
      </c>
      <c r="F135" s="1758">
        <v>2100</v>
      </c>
      <c r="G135" s="1763">
        <v>1</v>
      </c>
      <c r="H135" s="1758"/>
      <c r="I135" s="1758"/>
      <c r="J135" s="1758"/>
      <c r="K135" s="1758"/>
      <c r="L135" s="1683"/>
      <c r="M135" s="1683"/>
      <c r="N135" s="1683"/>
      <c r="O135" s="1683"/>
      <c r="P135" s="1683"/>
      <c r="Q135" s="1628"/>
      <c r="R135" s="1628"/>
      <c r="S135" s="1628"/>
    </row>
    <row r="136" spans="1:19" x14ac:dyDescent="0.2">
      <c r="A136" s="1757">
        <v>18</v>
      </c>
      <c r="B136" s="1754" t="s">
        <v>345</v>
      </c>
      <c r="C136" s="1762">
        <v>168000</v>
      </c>
      <c r="D136" s="1763">
        <v>1</v>
      </c>
      <c r="E136" s="1756">
        <v>14000</v>
      </c>
      <c r="F136" s="1758">
        <v>2800</v>
      </c>
      <c r="G136" s="1763">
        <v>2</v>
      </c>
      <c r="H136" s="1758"/>
      <c r="I136" s="1758"/>
      <c r="J136" s="1758"/>
      <c r="K136" s="1758"/>
      <c r="L136" s="1683"/>
      <c r="M136" s="1683"/>
      <c r="N136" s="1683"/>
      <c r="O136" s="1683"/>
      <c r="P136" s="1683"/>
      <c r="Q136" s="1628"/>
      <c r="R136" s="1628"/>
      <c r="S136" s="1628"/>
    </row>
    <row r="137" spans="1:19" x14ac:dyDescent="0.2">
      <c r="A137" s="1757">
        <v>19</v>
      </c>
      <c r="B137" s="1754" t="s">
        <v>346</v>
      </c>
      <c r="C137" s="1762">
        <v>56000</v>
      </c>
      <c r="D137" s="1763">
        <v>1</v>
      </c>
      <c r="E137" s="1756">
        <v>14000</v>
      </c>
      <c r="F137" s="1758">
        <v>2800</v>
      </c>
      <c r="G137" s="1763">
        <v>2</v>
      </c>
      <c r="H137" s="1758"/>
      <c r="I137" s="1758"/>
      <c r="J137" s="1758"/>
      <c r="K137" s="1758"/>
      <c r="L137" s="1683"/>
      <c r="M137" s="1683"/>
      <c r="N137" s="1683"/>
      <c r="O137" s="1683"/>
      <c r="P137" s="1683"/>
      <c r="Q137" s="1628"/>
      <c r="R137" s="1628"/>
      <c r="S137" s="1628"/>
    </row>
    <row r="138" spans="1:19" x14ac:dyDescent="0.2">
      <c r="A138" s="1757">
        <v>20</v>
      </c>
      <c r="B138" s="1754" t="s">
        <v>347</v>
      </c>
      <c r="C138" s="1762">
        <v>49000</v>
      </c>
      <c r="D138" s="1763">
        <v>1</v>
      </c>
      <c r="E138" s="1756">
        <v>0</v>
      </c>
      <c r="F138" s="1758">
        <v>2800</v>
      </c>
      <c r="G138" s="1763">
        <v>1</v>
      </c>
      <c r="H138" s="1758"/>
      <c r="I138" s="1758"/>
      <c r="J138" s="1758"/>
      <c r="K138" s="1758"/>
      <c r="L138" s="1683"/>
      <c r="M138" s="1683"/>
      <c r="N138" s="1683"/>
      <c r="O138" s="1683"/>
      <c r="P138" s="1683"/>
      <c r="Q138" s="1628"/>
      <c r="R138" s="1628"/>
      <c r="S138" s="1628"/>
    </row>
    <row r="139" spans="1:19" x14ac:dyDescent="0.2">
      <c r="A139" s="1757">
        <v>21</v>
      </c>
      <c r="B139" s="1754" t="s">
        <v>348</v>
      </c>
      <c r="C139" s="1762">
        <v>210000</v>
      </c>
      <c r="D139" s="1763">
        <v>1</v>
      </c>
      <c r="E139" s="1756">
        <v>16800</v>
      </c>
      <c r="F139" s="1758">
        <v>2800</v>
      </c>
      <c r="G139" s="1763">
        <v>2</v>
      </c>
      <c r="H139" s="1758"/>
      <c r="I139" s="1758"/>
      <c r="J139" s="1758"/>
      <c r="K139" s="1758"/>
      <c r="L139" s="1683"/>
      <c r="M139" s="1683"/>
      <c r="N139" s="1683"/>
      <c r="O139" s="1683"/>
      <c r="P139" s="1683"/>
      <c r="Q139" s="1628"/>
      <c r="R139" s="1628"/>
      <c r="S139" s="1628"/>
    </row>
    <row r="140" spans="1:19" x14ac:dyDescent="0.2">
      <c r="A140" s="1757">
        <v>22</v>
      </c>
      <c r="B140" s="1754" t="s">
        <v>349</v>
      </c>
      <c r="C140" s="1762">
        <v>63000</v>
      </c>
      <c r="D140" s="1763">
        <v>1</v>
      </c>
      <c r="E140" s="1756">
        <v>16800</v>
      </c>
      <c r="F140" s="1758">
        <v>2800</v>
      </c>
      <c r="G140" s="1763">
        <v>2</v>
      </c>
      <c r="H140" s="1758"/>
      <c r="I140" s="1758"/>
      <c r="J140" s="1758"/>
      <c r="K140" s="1758"/>
      <c r="L140" s="1683"/>
      <c r="M140" s="1683"/>
      <c r="N140" s="1683"/>
      <c r="O140" s="1683"/>
      <c r="P140" s="1683"/>
      <c r="Q140" s="1628"/>
      <c r="R140" s="1628"/>
      <c r="S140" s="1628"/>
    </row>
    <row r="141" spans="1:19" x14ac:dyDescent="0.2">
      <c r="A141" s="1757">
        <v>23</v>
      </c>
      <c r="B141" s="1754" t="s">
        <v>350</v>
      </c>
      <c r="C141" s="1762">
        <v>53200</v>
      </c>
      <c r="D141" s="1763">
        <v>1</v>
      </c>
      <c r="E141" s="1756">
        <v>0</v>
      </c>
      <c r="F141" s="1758">
        <v>2800</v>
      </c>
      <c r="G141" s="1763">
        <v>1</v>
      </c>
      <c r="H141" s="1758"/>
      <c r="I141" s="1758"/>
      <c r="J141" s="1758"/>
      <c r="K141" s="1758"/>
      <c r="L141" s="1683"/>
      <c r="M141" s="1683"/>
      <c r="N141" s="1683"/>
      <c r="O141" s="1683"/>
      <c r="P141" s="1683"/>
      <c r="Q141" s="1628"/>
      <c r="R141" s="1628"/>
      <c r="S141" s="1628"/>
    </row>
    <row r="142" spans="1:19" x14ac:dyDescent="0.2">
      <c r="A142" s="1757">
        <v>24</v>
      </c>
      <c r="B142" s="1754" t="s">
        <v>1164</v>
      </c>
      <c r="C142" s="1762">
        <v>77000</v>
      </c>
      <c r="D142" s="1763">
        <v>1</v>
      </c>
      <c r="E142" s="1756">
        <v>21000</v>
      </c>
      <c r="F142" s="1758">
        <v>2800</v>
      </c>
      <c r="G142" s="1763">
        <v>2</v>
      </c>
      <c r="H142" s="1758"/>
      <c r="I142" s="1758"/>
      <c r="J142" s="1758"/>
      <c r="K142" s="1758"/>
      <c r="L142" s="1683"/>
      <c r="M142" s="1683"/>
      <c r="N142" s="1683"/>
      <c r="O142" s="1683"/>
      <c r="P142" s="1683"/>
      <c r="Q142" s="1628"/>
      <c r="R142" s="1628"/>
      <c r="S142" s="1628"/>
    </row>
    <row r="143" spans="1:19" x14ac:dyDescent="0.2">
      <c r="A143" s="1757">
        <v>25</v>
      </c>
      <c r="B143" s="1754" t="s">
        <v>1165</v>
      </c>
      <c r="C143" s="1762">
        <v>58800</v>
      </c>
      <c r="D143" s="1763">
        <v>1</v>
      </c>
      <c r="E143" s="1756">
        <v>0</v>
      </c>
      <c r="F143" s="1758">
        <v>2800</v>
      </c>
      <c r="G143" s="1763">
        <v>1</v>
      </c>
      <c r="H143" s="1758"/>
      <c r="I143" s="1758"/>
      <c r="J143" s="1758"/>
      <c r="K143" s="1758"/>
      <c r="L143" s="1683"/>
      <c r="M143" s="1683"/>
      <c r="N143" s="1683"/>
      <c r="O143" s="1683"/>
      <c r="P143" s="1683"/>
      <c r="Q143" s="1628"/>
      <c r="R143" s="1628"/>
      <c r="S143" s="1628"/>
    </row>
    <row r="144" spans="1:19" x14ac:dyDescent="0.2">
      <c r="A144" s="1757">
        <v>26</v>
      </c>
      <c r="B144" s="1754" t="s">
        <v>1166</v>
      </c>
      <c r="C144" s="1762">
        <v>98000</v>
      </c>
      <c r="D144" s="1763">
        <v>1</v>
      </c>
      <c r="E144" s="1756">
        <v>25200</v>
      </c>
      <c r="F144" s="1758">
        <v>4200</v>
      </c>
      <c r="G144" s="1763">
        <v>2</v>
      </c>
      <c r="H144" s="1758"/>
      <c r="I144" s="1758"/>
      <c r="J144" s="1758"/>
      <c r="K144" s="1758"/>
      <c r="L144" s="1683"/>
      <c r="M144" s="1683"/>
      <c r="N144" s="1683"/>
      <c r="O144" s="1683"/>
      <c r="P144" s="1683"/>
      <c r="Q144" s="1628"/>
      <c r="R144" s="1628"/>
      <c r="S144" s="1628"/>
    </row>
    <row r="145" spans="1:19" x14ac:dyDescent="0.2">
      <c r="A145" s="1757">
        <v>27</v>
      </c>
      <c r="B145" s="1754" t="s">
        <v>1167</v>
      </c>
      <c r="C145" s="1762">
        <v>63000</v>
      </c>
      <c r="D145" s="1763">
        <v>1</v>
      </c>
      <c r="E145" s="1756">
        <v>0</v>
      </c>
      <c r="F145" s="1758">
        <v>4200</v>
      </c>
      <c r="G145" s="1763">
        <v>1</v>
      </c>
      <c r="H145" s="1758"/>
      <c r="I145" s="1758"/>
      <c r="J145" s="1758"/>
      <c r="K145" s="1758"/>
      <c r="L145" s="1683"/>
      <c r="M145" s="1683"/>
      <c r="N145" s="1683"/>
      <c r="O145" s="1683"/>
      <c r="P145" s="1683"/>
      <c r="Q145" s="1628"/>
      <c r="R145" s="1628"/>
      <c r="S145" s="1628"/>
    </row>
    <row r="146" spans="1:19" x14ac:dyDescent="0.2">
      <c r="A146" s="1757">
        <v>28</v>
      </c>
      <c r="B146" s="1754" t="s">
        <v>189</v>
      </c>
      <c r="C146" s="1762">
        <v>140000</v>
      </c>
      <c r="D146" s="1763">
        <v>1</v>
      </c>
      <c r="E146" s="1756">
        <v>35000</v>
      </c>
      <c r="F146" s="1758">
        <v>4200</v>
      </c>
      <c r="G146" s="1763">
        <v>2</v>
      </c>
      <c r="H146" s="1758"/>
      <c r="I146" s="1758"/>
      <c r="J146" s="1758"/>
      <c r="K146" s="1758"/>
      <c r="L146" s="1683"/>
      <c r="M146" s="1683"/>
      <c r="N146" s="1683"/>
      <c r="O146" s="1683"/>
      <c r="P146" s="1683"/>
      <c r="Q146" s="1628"/>
      <c r="R146" s="1628"/>
      <c r="S146" s="1628"/>
    </row>
    <row r="147" spans="1:19" x14ac:dyDescent="0.2">
      <c r="A147" s="1757">
        <v>29</v>
      </c>
      <c r="B147" s="1754" t="s">
        <v>190</v>
      </c>
      <c r="C147" s="1762">
        <v>98000</v>
      </c>
      <c r="D147" s="1763">
        <v>1</v>
      </c>
      <c r="E147" s="1756">
        <v>0</v>
      </c>
      <c r="F147" s="1758">
        <v>4200</v>
      </c>
      <c r="G147" s="1763">
        <v>1</v>
      </c>
      <c r="H147" s="1758"/>
      <c r="I147" s="1758"/>
      <c r="J147" s="1758"/>
      <c r="K147" s="1758"/>
      <c r="L147" s="1683"/>
      <c r="M147" s="1683"/>
      <c r="N147" s="1683"/>
      <c r="O147" s="1683"/>
      <c r="P147" s="1683"/>
      <c r="Q147" s="1628"/>
      <c r="R147" s="1628"/>
      <c r="S147" s="1628"/>
    </row>
    <row r="148" spans="1:19" x14ac:dyDescent="0.2">
      <c r="A148" s="1757">
        <v>30</v>
      </c>
      <c r="B148" s="1754" t="s">
        <v>191</v>
      </c>
      <c r="C148" s="1762">
        <v>196000</v>
      </c>
      <c r="D148" s="1763">
        <v>1</v>
      </c>
      <c r="E148" s="1756">
        <v>56000</v>
      </c>
      <c r="F148" s="1758">
        <v>4200</v>
      </c>
      <c r="G148" s="1763">
        <v>2</v>
      </c>
      <c r="H148" s="1758"/>
      <c r="I148" s="1758"/>
      <c r="J148" s="1758"/>
      <c r="K148" s="1758"/>
      <c r="L148" s="1683"/>
      <c r="M148" s="1683"/>
      <c r="N148" s="1683"/>
      <c r="O148" s="1683"/>
      <c r="P148" s="1683"/>
      <c r="Q148" s="1628"/>
      <c r="R148" s="1628"/>
      <c r="S148" s="1628"/>
    </row>
    <row r="149" spans="1:19" x14ac:dyDescent="0.2">
      <c r="A149" s="1757">
        <v>31</v>
      </c>
      <c r="B149" s="1754" t="s">
        <v>192</v>
      </c>
      <c r="C149" s="1762">
        <v>126000</v>
      </c>
      <c r="D149" s="1763">
        <v>1</v>
      </c>
      <c r="E149" s="1756">
        <v>0</v>
      </c>
      <c r="F149" s="1758">
        <v>4200</v>
      </c>
      <c r="G149" s="1763">
        <v>1</v>
      </c>
      <c r="H149" s="1758"/>
      <c r="I149" s="1758"/>
      <c r="J149" s="1758"/>
      <c r="K149" s="1758"/>
      <c r="L149" s="1683"/>
      <c r="M149" s="1683"/>
      <c r="N149" s="1683"/>
      <c r="O149" s="1683"/>
      <c r="P149" s="1683"/>
      <c r="Q149" s="1628"/>
      <c r="R149" s="1628"/>
      <c r="S149" s="1628"/>
    </row>
    <row r="150" spans="1:19" x14ac:dyDescent="0.2">
      <c r="A150" s="1757">
        <v>32</v>
      </c>
      <c r="B150" s="1754" t="s">
        <v>193</v>
      </c>
      <c r="C150" s="1762">
        <v>224000</v>
      </c>
      <c r="D150" s="1763">
        <v>1</v>
      </c>
      <c r="E150" s="1756">
        <v>70000</v>
      </c>
      <c r="F150" s="1758">
        <v>5600</v>
      </c>
      <c r="G150" s="1763">
        <v>2</v>
      </c>
      <c r="H150" s="1758"/>
      <c r="I150" s="1758"/>
      <c r="J150" s="1758"/>
      <c r="K150" s="1758"/>
      <c r="L150" s="1683"/>
      <c r="M150" s="1683"/>
      <c r="N150" s="1683"/>
      <c r="O150" s="1683"/>
      <c r="P150" s="1683"/>
      <c r="Q150" s="1628"/>
      <c r="R150" s="1628"/>
      <c r="S150" s="1628"/>
    </row>
    <row r="151" spans="1:19" x14ac:dyDescent="0.2">
      <c r="A151" s="1757">
        <v>33</v>
      </c>
      <c r="B151" s="1754" t="s">
        <v>194</v>
      </c>
      <c r="C151" s="1762">
        <v>140000</v>
      </c>
      <c r="D151" s="1763">
        <v>1</v>
      </c>
      <c r="E151" s="1756">
        <v>0</v>
      </c>
      <c r="F151" s="1758">
        <v>5600</v>
      </c>
      <c r="G151" s="1757">
        <v>1</v>
      </c>
      <c r="H151" s="1758"/>
      <c r="I151" s="1758"/>
      <c r="J151" s="1758"/>
      <c r="K151" s="1758"/>
      <c r="L151" s="1683"/>
      <c r="M151" s="1683"/>
      <c r="N151" s="1683"/>
      <c r="O151" s="1683"/>
      <c r="P151" s="1683"/>
      <c r="Q151" s="1628"/>
      <c r="R151" s="1628"/>
      <c r="S151" s="1628"/>
    </row>
    <row r="152" spans="1:19" x14ac:dyDescent="0.2">
      <c r="A152" s="1757">
        <v>34</v>
      </c>
      <c r="B152" s="1754" t="s">
        <v>195</v>
      </c>
      <c r="C152" s="1762">
        <v>252000</v>
      </c>
      <c r="D152" s="1763">
        <v>1</v>
      </c>
      <c r="E152" s="1756">
        <v>98000</v>
      </c>
      <c r="F152" s="1758">
        <v>5600</v>
      </c>
      <c r="G152" s="1757">
        <v>2</v>
      </c>
      <c r="H152" s="1758"/>
      <c r="I152" s="1758"/>
      <c r="J152" s="1758"/>
      <c r="K152" s="1758"/>
      <c r="L152" s="1683"/>
      <c r="M152" s="1683"/>
      <c r="N152" s="1683"/>
      <c r="O152" s="1683"/>
      <c r="P152" s="1683"/>
      <c r="Q152" s="1628"/>
      <c r="R152" s="1628"/>
      <c r="S152" s="1628"/>
    </row>
    <row r="153" spans="1:19" x14ac:dyDescent="0.2">
      <c r="A153" s="1757">
        <v>35</v>
      </c>
      <c r="B153" s="1754" t="s">
        <v>196</v>
      </c>
      <c r="C153" s="1762">
        <v>182000</v>
      </c>
      <c r="D153" s="1763">
        <v>1</v>
      </c>
      <c r="E153" s="1756">
        <v>0</v>
      </c>
      <c r="F153" s="1758">
        <v>5600</v>
      </c>
      <c r="G153" s="1757">
        <v>1</v>
      </c>
      <c r="H153" s="1758"/>
      <c r="I153" s="1758"/>
      <c r="J153" s="1758"/>
      <c r="K153" s="1758"/>
      <c r="L153" s="1683"/>
      <c r="M153" s="1683"/>
      <c r="N153" s="1683"/>
      <c r="O153" s="1683"/>
      <c r="P153" s="1683"/>
      <c r="Q153" s="1628"/>
      <c r="R153" s="1628"/>
      <c r="S153" s="1628"/>
    </row>
    <row r="154" spans="1:19" x14ac:dyDescent="0.2">
      <c r="A154" s="1757">
        <v>36</v>
      </c>
      <c r="B154" s="1754" t="s">
        <v>197</v>
      </c>
      <c r="C154" s="1762">
        <v>350000</v>
      </c>
      <c r="D154" s="1763">
        <v>1</v>
      </c>
      <c r="E154" s="1756">
        <v>134400</v>
      </c>
      <c r="F154" s="1758">
        <v>5600</v>
      </c>
      <c r="G154" s="1757">
        <v>2</v>
      </c>
      <c r="H154" s="1758"/>
      <c r="I154" s="1758"/>
      <c r="J154" s="1758"/>
      <c r="K154" s="1758"/>
      <c r="L154" s="1683"/>
      <c r="M154" s="1683"/>
      <c r="N154" s="1683"/>
      <c r="O154" s="1683"/>
      <c r="P154" s="1683"/>
      <c r="Q154" s="1628"/>
      <c r="R154" s="1628"/>
      <c r="S154" s="1628"/>
    </row>
    <row r="155" spans="1:19" x14ac:dyDescent="0.2">
      <c r="A155" s="1757">
        <v>37</v>
      </c>
      <c r="B155" s="1754" t="s">
        <v>198</v>
      </c>
      <c r="C155" s="1762">
        <v>252000</v>
      </c>
      <c r="D155" s="1763">
        <v>1</v>
      </c>
      <c r="E155" s="1759">
        <v>0</v>
      </c>
      <c r="F155" s="1756">
        <v>5600</v>
      </c>
      <c r="G155" s="1757">
        <v>1</v>
      </c>
      <c r="H155" s="1758"/>
      <c r="I155" s="1758"/>
      <c r="J155" s="1758"/>
      <c r="K155" s="1758"/>
      <c r="L155" s="1683"/>
      <c r="M155" s="1683"/>
      <c r="N155" s="1683"/>
      <c r="O155" s="1683"/>
      <c r="P155" s="1683"/>
      <c r="Q155" s="1628"/>
      <c r="R155" s="1628"/>
      <c r="S155" s="1628"/>
    </row>
    <row r="156" spans="1:19" x14ac:dyDescent="0.2">
      <c r="A156" s="1757">
        <v>38</v>
      </c>
      <c r="B156" s="1754" t="s">
        <v>199</v>
      </c>
      <c r="C156" s="1762">
        <v>448000</v>
      </c>
      <c r="D156" s="1763"/>
      <c r="E156" s="1756">
        <v>154000</v>
      </c>
      <c r="F156" s="1756">
        <v>7000</v>
      </c>
      <c r="G156" s="1757">
        <v>2</v>
      </c>
      <c r="H156" s="1758"/>
      <c r="I156" s="1758"/>
      <c r="J156" s="1758"/>
      <c r="K156" s="1758"/>
      <c r="L156" s="1683"/>
      <c r="M156" s="1683"/>
      <c r="N156" s="1683"/>
      <c r="O156" s="1683"/>
      <c r="P156" s="1683"/>
      <c r="Q156" s="1628"/>
      <c r="R156" s="1628"/>
      <c r="S156" s="1628"/>
    </row>
    <row r="157" spans="1:19" x14ac:dyDescent="0.2">
      <c r="A157" s="1757">
        <v>39</v>
      </c>
      <c r="B157" s="1754" t="s">
        <v>200</v>
      </c>
      <c r="C157" s="1762">
        <v>336000</v>
      </c>
      <c r="D157" s="1756"/>
      <c r="E157" s="1756">
        <v>0</v>
      </c>
      <c r="F157" s="1756">
        <v>7000</v>
      </c>
      <c r="G157" s="1757">
        <v>1</v>
      </c>
      <c r="H157" s="1758"/>
      <c r="I157" s="1758"/>
      <c r="J157" s="1758"/>
      <c r="K157" s="1758"/>
      <c r="L157" s="1683"/>
      <c r="M157" s="1683"/>
      <c r="N157" s="1683"/>
      <c r="O157" s="1683"/>
      <c r="P157" s="1683"/>
      <c r="Q157" s="1628"/>
      <c r="R157" s="1628"/>
      <c r="S157" s="1628"/>
    </row>
    <row r="158" spans="1:19" x14ac:dyDescent="0.2">
      <c r="A158" s="1757">
        <v>40</v>
      </c>
      <c r="B158" s="1754" t="s">
        <v>201</v>
      </c>
      <c r="C158" s="1762">
        <v>0</v>
      </c>
      <c r="D158" s="1756"/>
      <c r="E158" s="1756">
        <v>1</v>
      </c>
      <c r="F158" s="1756">
        <v>7000</v>
      </c>
      <c r="G158" s="1757">
        <v>2</v>
      </c>
      <c r="H158" s="1758"/>
      <c r="I158" s="1758"/>
      <c r="J158" s="1758"/>
      <c r="K158" s="1758"/>
      <c r="L158" s="1683"/>
      <c r="M158" s="1683"/>
      <c r="N158" s="1683"/>
      <c r="O158" s="1683"/>
      <c r="P158" s="1683"/>
      <c r="Q158" s="1628"/>
      <c r="R158" s="1628"/>
      <c r="S158" s="1628"/>
    </row>
    <row r="159" spans="1:19" x14ac:dyDescent="0.2">
      <c r="A159" s="1757">
        <v>41</v>
      </c>
      <c r="B159" s="1754" t="s">
        <v>202</v>
      </c>
      <c r="C159" s="1762">
        <v>0</v>
      </c>
      <c r="D159" s="1756"/>
      <c r="E159" s="1756">
        <v>1</v>
      </c>
      <c r="F159" s="1756">
        <v>7000</v>
      </c>
      <c r="G159" s="1757">
        <v>1</v>
      </c>
      <c r="H159" s="1758"/>
      <c r="I159" s="1758"/>
      <c r="J159" s="1758"/>
      <c r="K159" s="1758"/>
      <c r="L159" s="1683"/>
      <c r="M159" s="1683"/>
      <c r="N159" s="1683"/>
      <c r="O159" s="1683"/>
      <c r="P159" s="1683"/>
      <c r="Q159" s="1628"/>
      <c r="R159" s="1628"/>
      <c r="S159" s="1628"/>
    </row>
    <row r="160" spans="1:19" x14ac:dyDescent="0.2">
      <c r="A160" s="1757">
        <v>42</v>
      </c>
      <c r="B160" s="1754" t="s">
        <v>203</v>
      </c>
      <c r="C160" s="1762">
        <v>0</v>
      </c>
      <c r="D160" s="1756"/>
      <c r="E160" s="1756">
        <v>1</v>
      </c>
      <c r="F160" s="1756">
        <v>7000</v>
      </c>
      <c r="G160" s="1757">
        <v>2</v>
      </c>
      <c r="H160" s="1758"/>
      <c r="I160" s="1758"/>
      <c r="J160" s="1758"/>
      <c r="K160" s="1758"/>
      <c r="L160" s="1683"/>
      <c r="M160" s="1683"/>
      <c r="N160" s="1683"/>
      <c r="O160" s="1683"/>
      <c r="P160" s="1683"/>
      <c r="Q160" s="1628"/>
      <c r="R160" s="1628"/>
      <c r="S160" s="1628"/>
    </row>
    <row r="161" spans="1:19" x14ac:dyDescent="0.2">
      <c r="A161" s="1757">
        <v>43</v>
      </c>
      <c r="B161" s="1754" t="s">
        <v>204</v>
      </c>
      <c r="C161" s="1762">
        <v>0</v>
      </c>
      <c r="D161" s="1756"/>
      <c r="E161" s="1756">
        <v>1</v>
      </c>
      <c r="F161" s="1756">
        <v>7000</v>
      </c>
      <c r="G161" s="1757">
        <v>1</v>
      </c>
      <c r="H161" s="1758"/>
      <c r="I161" s="1758"/>
      <c r="J161" s="1758"/>
      <c r="K161" s="1758"/>
      <c r="L161" s="1683"/>
      <c r="M161" s="1683"/>
      <c r="N161" s="1683"/>
      <c r="O161" s="1683"/>
      <c r="P161" s="1683"/>
      <c r="Q161" s="1628"/>
      <c r="R161" s="1628"/>
      <c r="S161" s="1628"/>
    </row>
    <row r="162" spans="1:19" x14ac:dyDescent="0.2">
      <c r="A162" s="1756"/>
      <c r="B162" s="1756"/>
      <c r="C162" s="1756"/>
      <c r="D162" s="1756"/>
      <c r="E162" s="1756"/>
      <c r="F162" s="1758"/>
      <c r="G162" s="1758"/>
      <c r="H162" s="1758"/>
      <c r="I162" s="1758"/>
      <c r="J162" s="1758"/>
      <c r="K162" s="1758"/>
      <c r="L162" s="1683"/>
      <c r="M162" s="1683"/>
      <c r="N162" s="1683"/>
      <c r="O162" s="1683"/>
      <c r="P162" s="1683"/>
      <c r="Q162" s="1628"/>
      <c r="R162" s="1628"/>
      <c r="S162" s="1628"/>
    </row>
    <row r="163" spans="1:19" x14ac:dyDescent="0.2">
      <c r="A163" s="1754" t="s">
        <v>277</v>
      </c>
      <c r="B163" s="1755" t="s">
        <v>278</v>
      </c>
      <c r="C163" s="1748" t="s">
        <v>282</v>
      </c>
      <c r="D163" s="1756"/>
      <c r="E163" s="1756"/>
      <c r="F163" s="1758"/>
      <c r="G163" s="1758"/>
      <c r="H163" s="1758"/>
      <c r="I163" s="1758"/>
      <c r="J163" s="1758"/>
      <c r="K163" s="1758"/>
      <c r="L163" s="1683"/>
      <c r="M163" s="1683"/>
      <c r="N163" s="1683"/>
      <c r="O163" s="1683"/>
      <c r="P163" s="1683"/>
      <c r="Q163" s="1628"/>
      <c r="R163" s="1628"/>
      <c r="S163" s="1628"/>
    </row>
    <row r="164" spans="1:19" x14ac:dyDescent="0.2">
      <c r="A164" s="1757">
        <v>1</v>
      </c>
      <c r="B164" s="1741" t="s">
        <v>78</v>
      </c>
      <c r="C164" s="1764">
        <v>0</v>
      </c>
      <c r="D164" s="1756"/>
      <c r="E164" s="1756"/>
      <c r="F164" s="1758"/>
      <c r="G164" s="1758"/>
      <c r="H164" s="1758"/>
      <c r="I164" s="1758"/>
      <c r="J164" s="1758"/>
      <c r="K164" s="1758"/>
      <c r="L164" s="1683"/>
      <c r="M164" s="1683"/>
      <c r="N164" s="1683"/>
      <c r="O164" s="1683"/>
      <c r="P164" s="1683"/>
      <c r="Q164" s="1628"/>
      <c r="R164" s="1628"/>
      <c r="S164" s="1628"/>
    </row>
    <row r="165" spans="1:19" x14ac:dyDescent="0.2">
      <c r="A165" s="1757">
        <v>2</v>
      </c>
      <c r="B165" s="1741" t="s">
        <v>279</v>
      </c>
      <c r="C165" s="1764">
        <v>1</v>
      </c>
      <c r="D165" s="1756"/>
      <c r="E165" s="1756"/>
      <c r="F165" s="1758"/>
      <c r="G165" s="1758"/>
      <c r="H165" s="1758"/>
      <c r="I165" s="1758"/>
      <c r="J165" s="1758"/>
      <c r="K165" s="1758"/>
      <c r="L165" s="1683"/>
      <c r="M165" s="1683"/>
      <c r="N165" s="1683"/>
      <c r="O165" s="1683"/>
      <c r="P165" s="1683"/>
      <c r="Q165" s="1628"/>
      <c r="R165" s="1628"/>
      <c r="S165" s="1628"/>
    </row>
    <row r="166" spans="1:19" x14ac:dyDescent="0.2">
      <c r="A166" s="1757">
        <v>3</v>
      </c>
      <c r="B166" s="1759" t="s">
        <v>280</v>
      </c>
      <c r="C166" s="1757">
        <v>2</v>
      </c>
      <c r="D166" s="1756"/>
      <c r="E166" s="1756"/>
      <c r="F166" s="1758"/>
      <c r="G166" s="1758"/>
      <c r="H166" s="1758"/>
      <c r="I166" s="1758"/>
      <c r="J166" s="1758"/>
      <c r="K166" s="1758"/>
      <c r="L166" s="1683"/>
      <c r="M166" s="1683"/>
      <c r="N166" s="1683"/>
      <c r="O166" s="1683"/>
      <c r="P166" s="1683"/>
      <c r="Q166" s="1628"/>
      <c r="R166" s="1628"/>
      <c r="S166" s="1628"/>
    </row>
    <row r="167" spans="1:19" x14ac:dyDescent="0.2">
      <c r="A167" s="1757">
        <v>4</v>
      </c>
      <c r="B167" s="1759" t="s">
        <v>281</v>
      </c>
      <c r="C167" s="1757">
        <v>3</v>
      </c>
      <c r="D167" s="1756"/>
      <c r="E167" s="1756"/>
      <c r="F167" s="1758"/>
      <c r="G167" s="1758"/>
      <c r="H167" s="1758"/>
      <c r="I167" s="1758"/>
      <c r="J167" s="1758"/>
      <c r="K167" s="1758"/>
      <c r="L167" s="1683"/>
      <c r="M167" s="1683"/>
      <c r="N167" s="1683"/>
      <c r="O167" s="1683"/>
      <c r="P167" s="1683"/>
      <c r="Q167" s="1628"/>
      <c r="R167" s="1628"/>
      <c r="S167" s="1628"/>
    </row>
    <row r="168" spans="1:19" x14ac:dyDescent="0.2">
      <c r="A168" s="1759" t="s">
        <v>72</v>
      </c>
      <c r="B168" s="1760" t="s">
        <v>73</v>
      </c>
      <c r="C168" s="1759" t="s">
        <v>74</v>
      </c>
      <c r="D168" s="1756"/>
      <c r="E168" s="1759" t="s">
        <v>717</v>
      </c>
      <c r="F168" s="1759" t="s">
        <v>718</v>
      </c>
      <c r="G168" s="1761" t="s">
        <v>504</v>
      </c>
      <c r="H168" s="1758"/>
      <c r="I168" s="1758"/>
      <c r="J168" s="1758"/>
      <c r="K168" s="1758"/>
      <c r="L168" s="1683"/>
      <c r="M168" s="1683"/>
      <c r="N168" s="1683"/>
      <c r="O168" s="1683"/>
      <c r="P168" s="1683"/>
      <c r="Q168" s="1628"/>
      <c r="R168" s="1628"/>
      <c r="S168" s="1628"/>
    </row>
    <row r="169" spans="1:19" x14ac:dyDescent="0.2">
      <c r="A169" s="1763">
        <v>1</v>
      </c>
      <c r="B169" s="1759" t="s">
        <v>78</v>
      </c>
      <c r="C169" s="1756">
        <v>0</v>
      </c>
      <c r="D169" s="1756"/>
      <c r="E169" s="1756">
        <v>0</v>
      </c>
      <c r="F169" s="1758">
        <v>0</v>
      </c>
      <c r="G169" s="1763">
        <v>0</v>
      </c>
      <c r="H169" s="1758"/>
      <c r="I169" s="1758"/>
      <c r="J169" s="1758"/>
      <c r="K169" s="1758"/>
      <c r="L169" s="1683"/>
      <c r="M169" s="1683"/>
      <c r="N169" s="1683"/>
      <c r="O169" s="1683"/>
      <c r="P169" s="1683"/>
      <c r="Q169" s="1628"/>
      <c r="R169" s="1628"/>
      <c r="S169" s="1628"/>
    </row>
    <row r="170" spans="1:19" x14ac:dyDescent="0.2">
      <c r="A170" s="1763">
        <v>2</v>
      </c>
      <c r="B170" s="1759" t="s">
        <v>205</v>
      </c>
      <c r="C170" s="1756">
        <v>33600</v>
      </c>
      <c r="D170" s="1756"/>
      <c r="E170" s="1756">
        <v>1960</v>
      </c>
      <c r="F170" s="1758">
        <v>1400</v>
      </c>
      <c r="G170" s="1763">
        <v>2</v>
      </c>
      <c r="H170" s="1758"/>
      <c r="I170" s="1758"/>
      <c r="J170" s="1758"/>
      <c r="K170" s="1758"/>
      <c r="L170" s="1683"/>
      <c r="M170" s="1683"/>
      <c r="N170" s="1683"/>
      <c r="O170" s="1683"/>
      <c r="P170" s="1683"/>
      <c r="Q170" s="1628"/>
      <c r="R170" s="1628"/>
      <c r="S170" s="1628"/>
    </row>
    <row r="171" spans="1:19" x14ac:dyDescent="0.2">
      <c r="A171" s="1763">
        <v>3</v>
      </c>
      <c r="B171" s="1759" t="s">
        <v>206</v>
      </c>
      <c r="C171" s="1756">
        <v>43680</v>
      </c>
      <c r="D171" s="1756"/>
      <c r="E171" s="1756">
        <v>2380</v>
      </c>
      <c r="F171" s="1758">
        <v>1400</v>
      </c>
      <c r="G171" s="1763">
        <v>2</v>
      </c>
      <c r="H171" s="1758"/>
      <c r="I171" s="1758"/>
      <c r="J171" s="1758"/>
      <c r="K171" s="1758"/>
      <c r="L171" s="1683"/>
      <c r="M171" s="1683"/>
      <c r="N171" s="1683"/>
      <c r="O171" s="1683"/>
      <c r="P171" s="1683"/>
      <c r="Q171" s="1628"/>
      <c r="R171" s="1628"/>
      <c r="S171" s="1628"/>
    </row>
    <row r="172" spans="1:19" x14ac:dyDescent="0.2">
      <c r="A172" s="1763">
        <v>4</v>
      </c>
      <c r="B172" s="1759" t="s">
        <v>128</v>
      </c>
      <c r="C172" s="1756">
        <v>43680</v>
      </c>
      <c r="D172" s="1756"/>
      <c r="E172" s="1756">
        <v>2380</v>
      </c>
      <c r="F172" s="1758">
        <v>1400</v>
      </c>
      <c r="G172" s="1763">
        <v>2</v>
      </c>
      <c r="H172" s="1758"/>
      <c r="I172" s="1758"/>
      <c r="J172" s="1758"/>
      <c r="K172" s="1758"/>
      <c r="L172" s="1683"/>
      <c r="M172" s="1683"/>
      <c r="N172" s="1683"/>
      <c r="O172" s="1683"/>
      <c r="P172" s="1683"/>
      <c r="Q172" s="1628"/>
      <c r="R172" s="1628"/>
      <c r="S172" s="1628"/>
    </row>
    <row r="173" spans="1:19" x14ac:dyDescent="0.2">
      <c r="A173" s="1763">
        <v>5</v>
      </c>
      <c r="B173" s="1759" t="s">
        <v>129</v>
      </c>
      <c r="C173" s="1756">
        <v>45700</v>
      </c>
      <c r="D173" s="1756"/>
      <c r="E173" s="1756">
        <v>3640</v>
      </c>
      <c r="F173" s="1758">
        <v>2100</v>
      </c>
      <c r="G173" s="1763">
        <v>2</v>
      </c>
      <c r="H173" s="1758"/>
      <c r="I173" s="1758"/>
      <c r="J173" s="1758"/>
      <c r="K173" s="1758"/>
      <c r="L173" s="1683"/>
      <c r="M173" s="1683"/>
      <c r="N173" s="1683"/>
      <c r="O173" s="1683"/>
      <c r="P173" s="1683"/>
      <c r="Q173" s="1628"/>
      <c r="R173" s="1628"/>
      <c r="S173" s="1628"/>
    </row>
    <row r="174" spans="1:19" x14ac:dyDescent="0.2">
      <c r="A174" s="1763">
        <v>6</v>
      </c>
      <c r="B174" s="1759" t="s">
        <v>130</v>
      </c>
      <c r="C174" s="1756">
        <v>66640</v>
      </c>
      <c r="D174" s="1756"/>
      <c r="E174" s="1756">
        <v>5600</v>
      </c>
      <c r="F174" s="1758">
        <v>2100</v>
      </c>
      <c r="G174" s="1763">
        <v>2</v>
      </c>
      <c r="H174" s="1758"/>
      <c r="I174" s="1758"/>
      <c r="J174" s="1758"/>
      <c r="K174" s="1758"/>
      <c r="L174" s="1683"/>
      <c r="M174" s="1683"/>
      <c r="N174" s="1683"/>
      <c r="O174" s="1683"/>
      <c r="P174" s="1683"/>
      <c r="Q174" s="1628"/>
      <c r="R174" s="1628"/>
      <c r="S174" s="1628"/>
    </row>
    <row r="175" spans="1:19" x14ac:dyDescent="0.2">
      <c r="A175" s="1763">
        <v>7</v>
      </c>
      <c r="B175" s="1759" t="s">
        <v>15</v>
      </c>
      <c r="C175" s="1756">
        <v>52360</v>
      </c>
      <c r="D175" s="1756"/>
      <c r="E175" s="1756">
        <v>5600</v>
      </c>
      <c r="F175" s="1758">
        <v>2100</v>
      </c>
      <c r="G175" s="1763">
        <v>2</v>
      </c>
      <c r="H175" s="1758"/>
      <c r="I175" s="1758"/>
      <c r="J175" s="1758"/>
      <c r="K175" s="1758"/>
      <c r="L175" s="1683"/>
      <c r="M175" s="1683"/>
      <c r="N175" s="1683"/>
      <c r="O175" s="1683"/>
      <c r="P175" s="1683"/>
      <c r="Q175" s="1628"/>
      <c r="R175" s="1628"/>
      <c r="S175" s="1628"/>
    </row>
    <row r="176" spans="1:19" x14ac:dyDescent="0.2">
      <c r="A176" s="1763">
        <v>8</v>
      </c>
      <c r="B176" s="1759" t="s">
        <v>16</v>
      </c>
      <c r="C176" s="1756">
        <v>35700</v>
      </c>
      <c r="D176" s="1756"/>
      <c r="E176" s="1756">
        <v>0</v>
      </c>
      <c r="F176" s="1758">
        <v>2100</v>
      </c>
      <c r="G176" s="1763">
        <v>1</v>
      </c>
      <c r="H176" s="1758"/>
      <c r="I176" s="1758"/>
      <c r="J176" s="1758"/>
      <c r="K176" s="1758"/>
      <c r="L176" s="1683"/>
      <c r="M176" s="1683"/>
      <c r="N176" s="1683"/>
      <c r="O176" s="1683"/>
      <c r="P176" s="1683"/>
      <c r="Q176" s="1628"/>
      <c r="R176" s="1628"/>
      <c r="S176" s="1628"/>
    </row>
    <row r="177" spans="1:19" x14ac:dyDescent="0.2">
      <c r="A177" s="1763">
        <v>9</v>
      </c>
      <c r="B177" s="1759" t="s">
        <v>17</v>
      </c>
      <c r="C177" s="1756">
        <v>95200</v>
      </c>
      <c r="D177" s="1756"/>
      <c r="E177" s="1756">
        <v>9800</v>
      </c>
      <c r="F177" s="1758">
        <v>2100</v>
      </c>
      <c r="G177" s="1763">
        <v>2</v>
      </c>
      <c r="H177" s="1758"/>
      <c r="I177" s="1758"/>
      <c r="J177" s="1758"/>
      <c r="K177" s="1758"/>
      <c r="L177" s="1683"/>
      <c r="M177" s="1683"/>
      <c r="N177" s="1683"/>
      <c r="O177" s="1683"/>
      <c r="P177" s="1683"/>
      <c r="Q177" s="1628"/>
      <c r="R177" s="1628"/>
      <c r="S177" s="1628"/>
    </row>
    <row r="178" spans="1:19" x14ac:dyDescent="0.2">
      <c r="A178" s="1763">
        <v>10</v>
      </c>
      <c r="B178" s="1759" t="s">
        <v>18</v>
      </c>
      <c r="C178" s="1756">
        <v>57120</v>
      </c>
      <c r="D178" s="1756"/>
      <c r="E178" s="1756">
        <v>9800</v>
      </c>
      <c r="F178" s="1758">
        <v>2100</v>
      </c>
      <c r="G178" s="1763">
        <v>2</v>
      </c>
      <c r="H178" s="1758"/>
      <c r="I178" s="1758"/>
      <c r="J178" s="1758"/>
      <c r="K178" s="1758"/>
      <c r="L178" s="1683"/>
      <c r="M178" s="1683"/>
      <c r="N178" s="1683"/>
      <c r="O178" s="1683"/>
      <c r="P178" s="1683"/>
      <c r="Q178" s="1628"/>
      <c r="R178" s="1628"/>
      <c r="S178" s="1628"/>
    </row>
    <row r="179" spans="1:19" x14ac:dyDescent="0.2">
      <c r="A179" s="1763">
        <v>11</v>
      </c>
      <c r="B179" s="1759" t="s">
        <v>19</v>
      </c>
      <c r="C179" s="1756">
        <v>42840</v>
      </c>
      <c r="D179" s="1756"/>
      <c r="E179" s="1756">
        <v>0</v>
      </c>
      <c r="F179" s="1758">
        <v>2100</v>
      </c>
      <c r="G179" s="1763">
        <v>1</v>
      </c>
      <c r="H179" s="1758"/>
      <c r="I179" s="1758"/>
      <c r="J179" s="1758"/>
      <c r="K179" s="1758"/>
      <c r="L179" s="1683"/>
      <c r="M179" s="1683"/>
      <c r="N179" s="1683"/>
      <c r="O179" s="1683"/>
      <c r="P179" s="1683"/>
      <c r="Q179" s="1628"/>
      <c r="R179" s="1628"/>
      <c r="S179" s="1628"/>
    </row>
    <row r="180" spans="1:19" x14ac:dyDescent="0.2">
      <c r="A180" s="1763">
        <v>12</v>
      </c>
      <c r="B180" s="1759" t="s">
        <v>20</v>
      </c>
      <c r="C180" s="1756">
        <v>280000</v>
      </c>
      <c r="D180" s="1756"/>
      <c r="E180" s="1756">
        <v>14000</v>
      </c>
      <c r="F180" s="1758">
        <v>2800</v>
      </c>
      <c r="G180" s="1763">
        <v>2</v>
      </c>
      <c r="H180" s="1758"/>
      <c r="I180" s="1758"/>
      <c r="J180" s="1758"/>
      <c r="K180" s="1758"/>
      <c r="L180" s="1683"/>
      <c r="M180" s="1683"/>
      <c r="N180" s="1683"/>
      <c r="O180" s="1683"/>
      <c r="P180" s="1683"/>
      <c r="Q180" s="1628"/>
      <c r="R180" s="1628"/>
      <c r="S180" s="1628"/>
    </row>
    <row r="181" spans="1:19" x14ac:dyDescent="0.2">
      <c r="A181" s="1763">
        <v>13</v>
      </c>
      <c r="B181" s="1759" t="s">
        <v>21</v>
      </c>
      <c r="C181" s="1756">
        <v>95200</v>
      </c>
      <c r="D181" s="1756"/>
      <c r="E181" s="1756">
        <v>14000</v>
      </c>
      <c r="F181" s="1758">
        <v>2800</v>
      </c>
      <c r="G181" s="1763">
        <v>2</v>
      </c>
      <c r="H181" s="1758"/>
      <c r="I181" s="1758"/>
      <c r="J181" s="1758"/>
      <c r="K181" s="1758"/>
      <c r="L181" s="1683"/>
      <c r="M181" s="1683"/>
      <c r="N181" s="1683"/>
      <c r="O181" s="1683"/>
      <c r="P181" s="1683"/>
      <c r="Q181" s="1628"/>
      <c r="R181" s="1628"/>
      <c r="S181" s="1628"/>
    </row>
    <row r="182" spans="1:19" x14ac:dyDescent="0.2">
      <c r="A182" s="1763">
        <v>14</v>
      </c>
      <c r="B182" s="1759" t="s">
        <v>49</v>
      </c>
      <c r="C182" s="1756">
        <v>72800</v>
      </c>
      <c r="D182" s="1756"/>
      <c r="E182" s="1756">
        <v>0</v>
      </c>
      <c r="F182" s="1758">
        <v>2800</v>
      </c>
      <c r="G182" s="1763">
        <v>1</v>
      </c>
      <c r="H182" s="1758"/>
      <c r="I182" s="1758"/>
      <c r="J182" s="1758"/>
      <c r="K182" s="1758"/>
      <c r="L182" s="1683"/>
      <c r="M182" s="1683"/>
      <c r="N182" s="1683"/>
      <c r="O182" s="1683"/>
      <c r="P182" s="1683"/>
      <c r="Q182" s="1628"/>
      <c r="R182" s="1628"/>
      <c r="S182" s="1628"/>
    </row>
    <row r="183" spans="1:19" x14ac:dyDescent="0.2">
      <c r="A183" s="1763">
        <v>15</v>
      </c>
      <c r="B183" s="1759" t="s">
        <v>50</v>
      </c>
      <c r="C183" s="1756">
        <v>350000</v>
      </c>
      <c r="D183" s="1756"/>
      <c r="E183" s="1756">
        <v>16800</v>
      </c>
      <c r="F183" s="1758">
        <v>2800</v>
      </c>
      <c r="G183" s="1763">
        <v>2</v>
      </c>
      <c r="H183" s="1758"/>
      <c r="I183" s="1758"/>
      <c r="J183" s="1758"/>
      <c r="K183" s="1758"/>
      <c r="L183" s="1683"/>
      <c r="M183" s="1683"/>
      <c r="N183" s="1683"/>
      <c r="O183" s="1683"/>
      <c r="P183" s="1683"/>
      <c r="Q183" s="1628"/>
      <c r="R183" s="1628"/>
      <c r="S183" s="1628"/>
    </row>
    <row r="184" spans="1:19" x14ac:dyDescent="0.2">
      <c r="A184" s="1763">
        <v>16</v>
      </c>
      <c r="B184" s="1759" t="s">
        <v>51</v>
      </c>
      <c r="C184" s="1756">
        <v>106400</v>
      </c>
      <c r="D184" s="1756"/>
      <c r="E184" s="1756">
        <v>16800</v>
      </c>
      <c r="F184" s="1758">
        <v>2800</v>
      </c>
      <c r="G184" s="1763">
        <v>2</v>
      </c>
      <c r="H184" s="1758"/>
      <c r="I184" s="1758"/>
      <c r="J184" s="1758"/>
      <c r="K184" s="1758"/>
      <c r="L184" s="1683"/>
      <c r="M184" s="1683"/>
      <c r="N184" s="1683"/>
      <c r="O184" s="1683"/>
      <c r="P184" s="1683"/>
      <c r="Q184" s="1628"/>
      <c r="R184" s="1628"/>
      <c r="S184" s="1628"/>
    </row>
    <row r="185" spans="1:19" x14ac:dyDescent="0.2">
      <c r="A185" s="1763">
        <v>17</v>
      </c>
      <c r="B185" s="1759" t="s">
        <v>52</v>
      </c>
      <c r="C185" s="1756">
        <v>79800</v>
      </c>
      <c r="D185" s="1756"/>
      <c r="E185" s="1756">
        <v>0</v>
      </c>
      <c r="F185" s="1758">
        <v>2800</v>
      </c>
      <c r="G185" s="1763">
        <v>1</v>
      </c>
      <c r="H185" s="1758"/>
      <c r="I185" s="1758"/>
      <c r="J185" s="1758"/>
      <c r="K185" s="1758"/>
      <c r="L185" s="1683"/>
      <c r="M185" s="1683"/>
      <c r="N185" s="1683"/>
      <c r="O185" s="1683"/>
      <c r="P185" s="1683"/>
      <c r="Q185" s="1628"/>
      <c r="R185" s="1628"/>
      <c r="S185" s="1628"/>
    </row>
    <row r="186" spans="1:19" x14ac:dyDescent="0.2">
      <c r="A186" s="1763">
        <v>18</v>
      </c>
      <c r="B186" s="1759" t="s">
        <v>53</v>
      </c>
      <c r="C186" s="1756">
        <v>130200</v>
      </c>
      <c r="D186" s="1756"/>
      <c r="E186" s="1756">
        <v>21000</v>
      </c>
      <c r="F186" s="1758">
        <v>2800</v>
      </c>
      <c r="G186" s="1763">
        <v>2</v>
      </c>
      <c r="H186" s="1758"/>
      <c r="I186" s="1758"/>
      <c r="J186" s="1758"/>
      <c r="K186" s="1758"/>
      <c r="L186" s="1683"/>
      <c r="M186" s="1683"/>
      <c r="N186" s="1683"/>
      <c r="O186" s="1683"/>
      <c r="P186" s="1683"/>
      <c r="Q186" s="1628"/>
      <c r="R186" s="1628"/>
      <c r="S186" s="1628"/>
    </row>
    <row r="187" spans="1:19" x14ac:dyDescent="0.2">
      <c r="A187" s="1763">
        <v>19</v>
      </c>
      <c r="B187" s="1759" t="s">
        <v>54</v>
      </c>
      <c r="C187" s="1756">
        <v>88200</v>
      </c>
      <c r="D187" s="1756"/>
      <c r="E187" s="1756">
        <v>0</v>
      </c>
      <c r="F187" s="1758">
        <v>2800</v>
      </c>
      <c r="G187" s="1763">
        <v>1</v>
      </c>
      <c r="H187" s="1758"/>
      <c r="I187" s="1758"/>
      <c r="J187" s="1758"/>
      <c r="K187" s="1758"/>
      <c r="L187" s="1683"/>
      <c r="M187" s="1683"/>
      <c r="N187" s="1683"/>
      <c r="O187" s="1683"/>
      <c r="P187" s="1683"/>
      <c r="Q187" s="1628"/>
      <c r="R187" s="1628"/>
      <c r="S187" s="1628"/>
    </row>
    <row r="188" spans="1:19" x14ac:dyDescent="0.2">
      <c r="A188" s="1763">
        <v>20</v>
      </c>
      <c r="B188" s="1759" t="s">
        <v>55</v>
      </c>
      <c r="C188" s="1756">
        <v>147000</v>
      </c>
      <c r="D188" s="1756"/>
      <c r="E188" s="1756">
        <v>25200</v>
      </c>
      <c r="F188" s="1758">
        <v>4200</v>
      </c>
      <c r="G188" s="1763">
        <v>2</v>
      </c>
      <c r="H188" s="1758"/>
      <c r="I188" s="1758"/>
      <c r="J188" s="1758"/>
      <c r="K188" s="1758"/>
      <c r="L188" s="1683"/>
      <c r="M188" s="1683"/>
      <c r="N188" s="1683"/>
      <c r="O188" s="1683"/>
      <c r="P188" s="1683"/>
      <c r="Q188" s="1628"/>
      <c r="R188" s="1628"/>
      <c r="S188" s="1628"/>
    </row>
    <row r="189" spans="1:19" x14ac:dyDescent="0.2">
      <c r="A189" s="1763">
        <v>21</v>
      </c>
      <c r="B189" s="1759" t="s">
        <v>56</v>
      </c>
      <c r="C189" s="1756">
        <v>100800</v>
      </c>
      <c r="D189" s="1756"/>
      <c r="E189" s="1756">
        <v>0</v>
      </c>
      <c r="F189" s="1758">
        <v>4200</v>
      </c>
      <c r="G189" s="1763">
        <v>1</v>
      </c>
      <c r="H189" s="1758"/>
      <c r="I189" s="1758"/>
      <c r="J189" s="1758"/>
      <c r="K189" s="1758"/>
      <c r="L189" s="1683"/>
      <c r="M189" s="1683"/>
      <c r="N189" s="1683"/>
      <c r="O189" s="1683"/>
      <c r="P189" s="1683"/>
      <c r="Q189" s="1628"/>
      <c r="R189" s="1628"/>
      <c r="S189" s="1628"/>
    </row>
    <row r="190" spans="1:19" x14ac:dyDescent="0.2">
      <c r="A190" s="1763">
        <v>22</v>
      </c>
      <c r="B190" s="1759" t="s">
        <v>57</v>
      </c>
      <c r="C190" s="1756">
        <v>224000</v>
      </c>
      <c r="D190" s="1756"/>
      <c r="E190" s="1756">
        <v>35000</v>
      </c>
      <c r="F190" s="1758">
        <v>4200</v>
      </c>
      <c r="G190" s="1763">
        <v>2</v>
      </c>
      <c r="H190" s="1758"/>
      <c r="I190" s="1758"/>
      <c r="J190" s="1758"/>
      <c r="K190" s="1758"/>
      <c r="L190" s="1683"/>
      <c r="M190" s="1683"/>
      <c r="N190" s="1683"/>
      <c r="O190" s="1683"/>
      <c r="P190" s="1683"/>
      <c r="Q190" s="1628"/>
      <c r="R190" s="1628"/>
      <c r="S190" s="1628"/>
    </row>
    <row r="191" spans="1:19" x14ac:dyDescent="0.2">
      <c r="A191" s="1763">
        <v>23</v>
      </c>
      <c r="B191" s="1759" t="s">
        <v>58</v>
      </c>
      <c r="C191" s="1756">
        <v>151200</v>
      </c>
      <c r="D191" s="1756"/>
      <c r="E191" s="1756">
        <v>0</v>
      </c>
      <c r="F191" s="1758">
        <v>4200</v>
      </c>
      <c r="G191" s="1763">
        <v>1</v>
      </c>
      <c r="H191" s="1758"/>
      <c r="I191" s="1758"/>
      <c r="J191" s="1758"/>
      <c r="K191" s="1758"/>
      <c r="L191" s="1683"/>
      <c r="M191" s="1683"/>
      <c r="N191" s="1683"/>
      <c r="O191" s="1683"/>
      <c r="P191" s="1683"/>
      <c r="Q191" s="1628"/>
      <c r="R191" s="1628"/>
      <c r="S191" s="1628"/>
    </row>
    <row r="192" spans="1:19" x14ac:dyDescent="0.2">
      <c r="A192" s="1763">
        <v>24</v>
      </c>
      <c r="B192" s="1759" t="s">
        <v>59</v>
      </c>
      <c r="C192" s="1756">
        <v>280000</v>
      </c>
      <c r="D192" s="1756"/>
      <c r="E192" s="1756">
        <v>56000</v>
      </c>
      <c r="F192" s="1758">
        <v>4200</v>
      </c>
      <c r="G192" s="1763">
        <v>2</v>
      </c>
      <c r="H192" s="1758"/>
      <c r="I192" s="1758"/>
      <c r="J192" s="1758"/>
      <c r="K192" s="1758"/>
      <c r="L192" s="1683"/>
      <c r="M192" s="1683"/>
      <c r="N192" s="1683"/>
      <c r="O192" s="1683"/>
      <c r="P192" s="1683"/>
      <c r="Q192" s="1628"/>
      <c r="R192" s="1628"/>
      <c r="S192" s="1628"/>
    </row>
    <row r="193" spans="1:19" x14ac:dyDescent="0.2">
      <c r="A193" s="1763">
        <v>25</v>
      </c>
      <c r="B193" s="1759" t="s">
        <v>60</v>
      </c>
      <c r="C193" s="1756">
        <v>210000</v>
      </c>
      <c r="D193" s="1756"/>
      <c r="E193" s="1756">
        <v>0</v>
      </c>
      <c r="F193" s="1758">
        <v>4200</v>
      </c>
      <c r="G193" s="1763">
        <v>1</v>
      </c>
      <c r="H193" s="1758"/>
      <c r="I193" s="1758"/>
      <c r="J193" s="1758"/>
      <c r="K193" s="1758"/>
      <c r="L193" s="1683"/>
      <c r="M193" s="1683"/>
      <c r="N193" s="1683"/>
      <c r="O193" s="1683"/>
      <c r="P193" s="1683"/>
      <c r="Q193" s="1628"/>
      <c r="R193" s="1628"/>
      <c r="S193" s="1628"/>
    </row>
    <row r="194" spans="1:19" x14ac:dyDescent="0.2">
      <c r="A194" s="1763">
        <v>26</v>
      </c>
      <c r="B194" s="1759" t="s">
        <v>61</v>
      </c>
      <c r="C194" s="1756">
        <v>350000</v>
      </c>
      <c r="D194" s="1756"/>
      <c r="E194" s="1756">
        <v>70000</v>
      </c>
      <c r="F194" s="1758">
        <v>5600</v>
      </c>
      <c r="G194" s="1763">
        <v>2</v>
      </c>
      <c r="H194" s="1758"/>
      <c r="I194" s="1758"/>
      <c r="J194" s="1758"/>
      <c r="K194" s="1758"/>
      <c r="L194" s="1683"/>
      <c r="M194" s="1683"/>
      <c r="N194" s="1683"/>
      <c r="O194" s="1683"/>
      <c r="P194" s="1683"/>
      <c r="Q194" s="1628"/>
      <c r="R194" s="1628"/>
      <c r="S194" s="1628"/>
    </row>
    <row r="195" spans="1:19" x14ac:dyDescent="0.2">
      <c r="A195" s="1763">
        <v>27</v>
      </c>
      <c r="B195" s="1759" t="s">
        <v>62</v>
      </c>
      <c r="C195" s="1756">
        <v>238000</v>
      </c>
      <c r="D195" s="1756"/>
      <c r="E195" s="1756">
        <v>0</v>
      </c>
      <c r="F195" s="1758">
        <v>5600</v>
      </c>
      <c r="G195" s="1757">
        <v>1</v>
      </c>
      <c r="H195" s="1758"/>
      <c r="I195" s="1758"/>
      <c r="J195" s="1758"/>
      <c r="K195" s="1758"/>
      <c r="L195" s="1683"/>
      <c r="M195" s="1683"/>
      <c r="N195" s="1683"/>
      <c r="O195" s="1683"/>
      <c r="P195" s="1683"/>
      <c r="Q195" s="1628"/>
      <c r="R195" s="1628"/>
      <c r="S195" s="1628"/>
    </row>
    <row r="196" spans="1:19" x14ac:dyDescent="0.2">
      <c r="A196" s="1763">
        <v>28</v>
      </c>
      <c r="B196" s="1759" t="s">
        <v>63</v>
      </c>
      <c r="C196" s="1756">
        <v>369600</v>
      </c>
      <c r="D196" s="1756"/>
      <c r="E196" s="1756">
        <v>98000</v>
      </c>
      <c r="F196" s="1758">
        <v>5600</v>
      </c>
      <c r="G196" s="1757">
        <v>2</v>
      </c>
      <c r="H196" s="1758"/>
      <c r="I196" s="1758"/>
      <c r="J196" s="1758"/>
      <c r="K196" s="1758"/>
      <c r="L196" s="1683"/>
      <c r="M196" s="1683"/>
      <c r="N196" s="1683"/>
      <c r="O196" s="1683"/>
      <c r="P196" s="1683"/>
      <c r="Q196" s="1628"/>
      <c r="R196" s="1628"/>
      <c r="S196" s="1628"/>
    </row>
    <row r="197" spans="1:19" x14ac:dyDescent="0.2">
      <c r="A197" s="1763">
        <v>29</v>
      </c>
      <c r="B197" s="1759" t="s">
        <v>64</v>
      </c>
      <c r="C197" s="1756">
        <v>280000</v>
      </c>
      <c r="D197" s="1756"/>
      <c r="E197" s="1756">
        <v>0</v>
      </c>
      <c r="F197" s="1758">
        <v>5600</v>
      </c>
      <c r="G197" s="1757">
        <v>1</v>
      </c>
      <c r="H197" s="1758"/>
      <c r="I197" s="1758"/>
      <c r="J197" s="1758"/>
      <c r="K197" s="1758"/>
      <c r="L197" s="1683"/>
      <c r="M197" s="1683"/>
      <c r="N197" s="1683"/>
      <c r="O197" s="1683"/>
      <c r="P197" s="1683"/>
      <c r="Q197" s="1628"/>
      <c r="R197" s="1628"/>
      <c r="S197" s="1628"/>
    </row>
    <row r="198" spans="1:19" x14ac:dyDescent="0.2">
      <c r="A198" s="1763">
        <v>30</v>
      </c>
      <c r="B198" s="1759" t="s">
        <v>65</v>
      </c>
      <c r="C198" s="1756">
        <v>504000</v>
      </c>
      <c r="D198" s="1756"/>
      <c r="E198" s="1756">
        <v>134400</v>
      </c>
      <c r="F198" s="1758">
        <v>5600</v>
      </c>
      <c r="G198" s="1757">
        <v>2</v>
      </c>
      <c r="H198" s="1758"/>
      <c r="I198" s="1758"/>
      <c r="J198" s="1758"/>
      <c r="K198" s="1758"/>
      <c r="L198" s="1683"/>
      <c r="M198" s="1683"/>
      <c r="N198" s="1683"/>
      <c r="O198" s="1683"/>
      <c r="P198" s="1683"/>
      <c r="Q198" s="1628"/>
      <c r="R198" s="1628"/>
      <c r="S198" s="1628"/>
    </row>
    <row r="199" spans="1:19" x14ac:dyDescent="0.2">
      <c r="A199" s="1763">
        <v>31</v>
      </c>
      <c r="B199" s="1759" t="s">
        <v>66</v>
      </c>
      <c r="C199" s="1756">
        <v>420000</v>
      </c>
      <c r="D199" s="1756"/>
      <c r="E199" s="1759">
        <v>0</v>
      </c>
      <c r="F199" s="1756">
        <v>5600</v>
      </c>
      <c r="G199" s="1757">
        <v>1</v>
      </c>
      <c r="H199" s="1758"/>
      <c r="I199" s="1758"/>
      <c r="J199" s="1758"/>
      <c r="K199" s="1758"/>
      <c r="L199" s="1683"/>
      <c r="M199" s="1683"/>
      <c r="N199" s="1683"/>
      <c r="O199" s="1683"/>
      <c r="P199" s="1683"/>
      <c r="Q199" s="1628"/>
      <c r="R199" s="1628"/>
      <c r="S199" s="1628"/>
    </row>
    <row r="200" spans="1:19" x14ac:dyDescent="0.2">
      <c r="A200" s="1763">
        <v>32</v>
      </c>
      <c r="B200" s="1759" t="s">
        <v>1158</v>
      </c>
      <c r="C200" s="1756">
        <v>588000</v>
      </c>
      <c r="D200" s="1756"/>
      <c r="E200" s="1756">
        <v>154000</v>
      </c>
      <c r="F200" s="1756">
        <v>7000</v>
      </c>
      <c r="G200" s="1757">
        <v>2</v>
      </c>
      <c r="H200" s="1758"/>
      <c r="I200" s="1758"/>
      <c r="J200" s="1758"/>
      <c r="K200" s="1758"/>
      <c r="L200" s="1683"/>
      <c r="M200" s="1683"/>
      <c r="N200" s="1683"/>
      <c r="O200" s="1683"/>
      <c r="P200" s="1683"/>
      <c r="Q200" s="1628"/>
      <c r="R200" s="1628"/>
      <c r="S200" s="1628"/>
    </row>
    <row r="201" spans="1:19" x14ac:dyDescent="0.2">
      <c r="A201" s="1763">
        <v>33</v>
      </c>
      <c r="B201" s="1759" t="s">
        <v>1159</v>
      </c>
      <c r="C201" s="1756">
        <v>470400</v>
      </c>
      <c r="D201" s="1756"/>
      <c r="E201" s="1756">
        <v>0</v>
      </c>
      <c r="F201" s="1756">
        <v>7000</v>
      </c>
      <c r="G201" s="1757">
        <v>1</v>
      </c>
      <c r="H201" s="1758"/>
      <c r="I201" s="1758"/>
      <c r="J201" s="1758"/>
      <c r="K201" s="1758"/>
      <c r="L201" s="1683"/>
      <c r="M201" s="1683"/>
      <c r="N201" s="1683"/>
      <c r="O201" s="1683"/>
      <c r="P201" s="1683"/>
      <c r="Q201" s="1628"/>
      <c r="R201" s="1628"/>
      <c r="S201" s="1628"/>
    </row>
    <row r="202" spans="1:19" x14ac:dyDescent="0.2">
      <c r="A202" s="1763">
        <v>34</v>
      </c>
      <c r="B202" s="1759" t="s">
        <v>1160</v>
      </c>
      <c r="C202" s="1765" t="s">
        <v>1203</v>
      </c>
      <c r="D202" s="1756"/>
      <c r="E202" s="1756">
        <v>1</v>
      </c>
      <c r="F202" s="1756">
        <v>7000</v>
      </c>
      <c r="G202" s="1757">
        <v>2</v>
      </c>
      <c r="H202" s="1758"/>
      <c r="I202" s="1758"/>
      <c r="J202" s="1758"/>
      <c r="K202" s="1758"/>
      <c r="L202" s="1683"/>
      <c r="M202" s="1683"/>
      <c r="N202" s="1683"/>
      <c r="O202" s="1683"/>
      <c r="P202" s="1683"/>
      <c r="Q202" s="1628"/>
      <c r="R202" s="1628"/>
      <c r="S202" s="1628"/>
    </row>
    <row r="203" spans="1:19" x14ac:dyDescent="0.2">
      <c r="A203" s="1763">
        <v>35</v>
      </c>
      <c r="B203" s="1759" t="s">
        <v>1161</v>
      </c>
      <c r="C203" s="1765" t="s">
        <v>1203</v>
      </c>
      <c r="D203" s="1756"/>
      <c r="E203" s="1756">
        <v>1</v>
      </c>
      <c r="F203" s="1756">
        <v>7000</v>
      </c>
      <c r="G203" s="1757">
        <v>1</v>
      </c>
      <c r="H203" s="1758"/>
      <c r="I203" s="1758"/>
      <c r="J203" s="1758"/>
      <c r="K203" s="1758"/>
      <c r="L203" s="1683"/>
      <c r="M203" s="1683"/>
      <c r="N203" s="1683"/>
      <c r="O203" s="1683"/>
      <c r="P203" s="1683"/>
      <c r="Q203" s="1628"/>
      <c r="R203" s="1628"/>
      <c r="S203" s="1628"/>
    </row>
    <row r="204" spans="1:19" x14ac:dyDescent="0.2">
      <c r="A204" s="1763">
        <v>36</v>
      </c>
      <c r="B204" s="1759" t="s">
        <v>1162</v>
      </c>
      <c r="C204" s="1765" t="s">
        <v>1203</v>
      </c>
      <c r="D204" s="1756"/>
      <c r="E204" s="1756">
        <v>1</v>
      </c>
      <c r="F204" s="1756">
        <v>7000</v>
      </c>
      <c r="G204" s="1757">
        <v>2</v>
      </c>
      <c r="H204" s="1758"/>
      <c r="I204" s="1758"/>
      <c r="J204" s="1758"/>
      <c r="K204" s="1758"/>
      <c r="L204" s="1683"/>
      <c r="M204" s="1683"/>
      <c r="N204" s="1683"/>
      <c r="O204" s="1683"/>
      <c r="P204" s="1683"/>
      <c r="Q204" s="1628"/>
      <c r="R204" s="1628"/>
      <c r="S204" s="1628"/>
    </row>
    <row r="205" spans="1:19" x14ac:dyDescent="0.2">
      <c r="A205" s="1763">
        <v>37</v>
      </c>
      <c r="B205" s="1759" t="s">
        <v>1163</v>
      </c>
      <c r="C205" s="1765" t="s">
        <v>1203</v>
      </c>
      <c r="D205" s="1756"/>
      <c r="E205" s="1756">
        <v>1</v>
      </c>
      <c r="F205" s="1756">
        <v>7000</v>
      </c>
      <c r="G205" s="1757">
        <v>1</v>
      </c>
      <c r="H205" s="1758"/>
      <c r="I205" s="1758"/>
      <c r="J205" s="1758"/>
      <c r="K205" s="1758"/>
      <c r="L205" s="1683"/>
      <c r="M205" s="1683"/>
      <c r="N205" s="1683"/>
      <c r="O205" s="1683"/>
      <c r="P205" s="1683"/>
      <c r="Q205" s="1628"/>
      <c r="R205" s="1628"/>
      <c r="S205" s="1628"/>
    </row>
    <row r="206" spans="1:19" x14ac:dyDescent="0.2">
      <c r="A206" s="1756"/>
      <c r="B206" s="1756"/>
      <c r="C206" s="1756"/>
      <c r="D206" s="1756"/>
      <c r="E206" s="1756"/>
      <c r="F206" s="1758"/>
      <c r="G206" s="1758"/>
      <c r="H206" s="1758"/>
      <c r="I206" s="1758"/>
      <c r="J206" s="1758"/>
      <c r="K206" s="1758"/>
      <c r="L206" s="1683"/>
      <c r="M206" s="1683"/>
      <c r="N206" s="1683"/>
      <c r="O206" s="1683"/>
      <c r="P206" s="1683"/>
      <c r="Q206" s="1628"/>
      <c r="R206" s="1628"/>
      <c r="S206" s="1628"/>
    </row>
    <row r="207" spans="1:19" x14ac:dyDescent="0.2">
      <c r="A207" s="1756"/>
      <c r="B207" s="1756"/>
      <c r="C207" s="1756"/>
      <c r="D207" s="1756"/>
      <c r="E207" s="1756"/>
      <c r="F207" s="1758"/>
      <c r="G207" s="1758"/>
      <c r="H207" s="1758"/>
      <c r="I207" s="1758"/>
      <c r="J207" s="1758"/>
      <c r="K207" s="1758"/>
      <c r="L207" s="1683"/>
      <c r="M207" s="1683"/>
      <c r="N207" s="1683"/>
      <c r="O207" s="1683"/>
      <c r="P207" s="1683"/>
      <c r="Q207" s="1628"/>
      <c r="R207" s="1628"/>
      <c r="S207" s="1628"/>
    </row>
    <row r="208" spans="1:19" x14ac:dyDescent="0.2">
      <c r="A208" s="1756"/>
      <c r="B208" s="1756"/>
      <c r="C208" s="1756"/>
      <c r="D208" s="1756"/>
      <c r="E208" s="1756"/>
      <c r="F208" s="1758"/>
      <c r="G208" s="1758"/>
      <c r="H208" s="1758"/>
      <c r="I208" s="1758"/>
      <c r="J208" s="1758"/>
      <c r="K208" s="1758"/>
      <c r="L208" s="1683"/>
      <c r="M208" s="1683"/>
      <c r="N208" s="1683"/>
      <c r="O208" s="1683"/>
      <c r="P208" s="1683"/>
      <c r="Q208" s="1628"/>
      <c r="R208" s="1628"/>
      <c r="S208" s="1628"/>
    </row>
    <row r="209" spans="1:19" x14ac:dyDescent="0.2">
      <c r="A209" s="1754" t="s">
        <v>893</v>
      </c>
      <c r="B209" s="1755" t="s">
        <v>907</v>
      </c>
      <c r="C209" s="1748" t="s">
        <v>894</v>
      </c>
      <c r="D209" s="1748"/>
      <c r="E209" s="1756"/>
      <c r="F209" s="1758"/>
      <c r="G209" s="1758"/>
      <c r="H209" s="1758"/>
      <c r="I209" s="1758"/>
      <c r="J209" s="1758"/>
      <c r="K209" s="1758"/>
      <c r="L209" s="1683"/>
      <c r="M209" s="1683"/>
      <c r="N209" s="1683"/>
      <c r="O209" s="1683"/>
      <c r="P209" s="1683"/>
      <c r="Q209" s="1628"/>
      <c r="R209" s="1628"/>
      <c r="S209" s="1628"/>
    </row>
    <row r="210" spans="1:19" x14ac:dyDescent="0.2">
      <c r="A210" s="1757">
        <v>1</v>
      </c>
      <c r="B210" s="1745" t="s">
        <v>900</v>
      </c>
      <c r="C210" s="1764">
        <v>4500</v>
      </c>
      <c r="D210" s="1758"/>
      <c r="E210" s="1758"/>
      <c r="F210" s="1758"/>
      <c r="G210" s="1758"/>
      <c r="H210" s="1758"/>
      <c r="I210" s="1758"/>
      <c r="J210" s="1758"/>
      <c r="K210" s="1758"/>
      <c r="L210" s="1683"/>
      <c r="M210" s="1683"/>
      <c r="N210" s="1683"/>
      <c r="O210" s="1683"/>
      <c r="P210" s="1683"/>
      <c r="Q210" s="1628"/>
      <c r="R210" s="1628"/>
      <c r="S210" s="1628"/>
    </row>
    <row r="211" spans="1:19" x14ac:dyDescent="0.2">
      <c r="A211" s="1766">
        <v>2</v>
      </c>
      <c r="B211" s="1745" t="s">
        <v>901</v>
      </c>
      <c r="C211" s="1764">
        <v>9000</v>
      </c>
      <c r="D211" s="1758"/>
      <c r="E211" s="1758"/>
      <c r="F211" s="1758"/>
      <c r="G211" s="1758"/>
      <c r="H211" s="1758"/>
      <c r="I211" s="1758"/>
      <c r="J211" s="1758"/>
      <c r="K211" s="1758"/>
      <c r="L211" s="1683"/>
      <c r="M211" s="1683"/>
      <c r="N211" s="1683"/>
      <c r="O211" s="1683"/>
      <c r="P211" s="1683"/>
      <c r="Q211" s="1628"/>
      <c r="R211" s="1628"/>
      <c r="S211" s="1628"/>
    </row>
    <row r="212" spans="1:19" x14ac:dyDescent="0.2">
      <c r="A212" s="1758"/>
      <c r="B212" s="1758"/>
      <c r="C212" s="1758"/>
      <c r="D212" s="1758"/>
      <c r="E212" s="1758"/>
      <c r="F212" s="1758"/>
      <c r="G212" s="1758"/>
      <c r="H212" s="1758"/>
      <c r="I212" s="1758"/>
      <c r="J212" s="1758"/>
      <c r="K212" s="1758"/>
      <c r="L212" s="1683"/>
      <c r="M212" s="1683"/>
      <c r="N212" s="1683"/>
      <c r="O212" s="1683"/>
      <c r="P212" s="1683"/>
      <c r="Q212" s="1628"/>
      <c r="R212" s="1628"/>
      <c r="S212" s="1628"/>
    </row>
    <row r="213" spans="1:19" x14ac:dyDescent="0.2">
      <c r="A213" s="1758"/>
      <c r="B213" s="1758"/>
      <c r="C213" s="1758"/>
      <c r="D213" s="1758"/>
      <c r="E213" s="1758"/>
      <c r="F213" s="1758"/>
      <c r="G213" s="1758"/>
      <c r="H213" s="1758"/>
      <c r="I213" s="1758"/>
      <c r="J213" s="1758"/>
      <c r="K213" s="1758"/>
      <c r="L213" s="1683"/>
      <c r="M213" s="1683"/>
      <c r="N213" s="1683"/>
      <c r="O213" s="1683"/>
      <c r="P213" s="1683"/>
      <c r="Q213" s="1628"/>
      <c r="R213" s="1628"/>
      <c r="S213" s="1628"/>
    </row>
    <row r="214" spans="1:19" x14ac:dyDescent="0.2">
      <c r="A214" s="1754" t="s">
        <v>895</v>
      </c>
      <c r="B214" s="1755" t="s">
        <v>906</v>
      </c>
      <c r="C214" s="1748" t="s">
        <v>905</v>
      </c>
      <c r="D214" s="1748"/>
      <c r="E214" s="1758"/>
      <c r="F214" s="1758"/>
      <c r="G214" s="1758"/>
      <c r="H214" s="1758"/>
      <c r="I214" s="1758"/>
      <c r="J214" s="1758"/>
      <c r="K214" s="1758"/>
      <c r="L214" s="1683"/>
      <c r="M214" s="1683"/>
      <c r="N214" s="1683"/>
      <c r="O214" s="1683"/>
      <c r="P214" s="1683"/>
      <c r="Q214" s="1628"/>
      <c r="R214" s="1628"/>
      <c r="S214" s="1628"/>
    </row>
    <row r="215" spans="1:19" x14ac:dyDescent="0.2">
      <c r="A215" s="1757">
        <v>1</v>
      </c>
      <c r="B215" s="1745" t="s">
        <v>78</v>
      </c>
      <c r="C215" s="1766">
        <v>0</v>
      </c>
      <c r="D215" s="1766"/>
      <c r="E215" s="1758"/>
      <c r="F215" s="1758"/>
      <c r="G215" s="1758"/>
      <c r="H215" s="1758"/>
      <c r="I215" s="1758"/>
      <c r="J215" s="1758"/>
      <c r="K215" s="1758"/>
      <c r="L215" s="1683"/>
      <c r="M215" s="1683"/>
      <c r="N215" s="1683"/>
      <c r="O215" s="1683"/>
      <c r="P215" s="1683"/>
      <c r="Q215" s="1628"/>
      <c r="R215" s="1628"/>
      <c r="S215" s="1628"/>
    </row>
    <row r="216" spans="1:19" x14ac:dyDescent="0.2">
      <c r="A216" s="1766">
        <v>2</v>
      </c>
      <c r="B216" s="1745" t="s">
        <v>838</v>
      </c>
      <c r="C216" s="1766">
        <v>2</v>
      </c>
      <c r="D216" s="1766"/>
      <c r="E216" s="1758"/>
      <c r="F216" s="1758"/>
      <c r="G216" s="1758"/>
      <c r="H216" s="1758"/>
      <c r="I216" s="1758"/>
      <c r="J216" s="1758"/>
      <c r="K216" s="1758"/>
      <c r="L216" s="1683"/>
      <c r="M216" s="1683"/>
      <c r="N216" s="1683"/>
      <c r="O216" s="1683"/>
      <c r="P216" s="1683"/>
      <c r="Q216" s="1628"/>
      <c r="R216" s="1628"/>
      <c r="S216" s="1628"/>
    </row>
    <row r="217" spans="1:19" x14ac:dyDescent="0.2">
      <c r="A217" s="1766">
        <v>3</v>
      </c>
      <c r="B217" s="1758" t="s">
        <v>839</v>
      </c>
      <c r="C217" s="1766">
        <v>4</v>
      </c>
      <c r="D217" s="1766"/>
      <c r="E217" s="1758"/>
      <c r="F217" s="1758"/>
      <c r="G217" s="1758"/>
      <c r="H217" s="1758"/>
      <c r="I217" s="1758"/>
      <c r="J217" s="1758"/>
      <c r="K217" s="1758"/>
      <c r="L217" s="1683"/>
      <c r="M217" s="1683"/>
      <c r="N217" s="1683"/>
      <c r="O217" s="1683"/>
      <c r="P217" s="1683"/>
      <c r="Q217" s="1628"/>
      <c r="R217" s="1628"/>
      <c r="S217" s="1628"/>
    </row>
    <row r="218" spans="1:19" x14ac:dyDescent="0.2">
      <c r="A218" s="1766">
        <v>4</v>
      </c>
      <c r="B218" s="1758" t="s">
        <v>899</v>
      </c>
      <c r="C218" s="1766">
        <v>3</v>
      </c>
      <c r="D218" s="1766"/>
      <c r="E218" s="1758"/>
      <c r="F218" s="1758"/>
      <c r="G218" s="1758"/>
      <c r="H218" s="1758"/>
      <c r="I218" s="1758"/>
      <c r="J218" s="1758"/>
      <c r="K218" s="1758"/>
      <c r="L218" s="1683"/>
      <c r="M218" s="1683"/>
      <c r="N218" s="1683"/>
      <c r="O218" s="1683"/>
      <c r="P218" s="1683"/>
      <c r="Q218" s="1628"/>
      <c r="R218" s="1628"/>
      <c r="S218" s="1628"/>
    </row>
    <row r="219" spans="1:19" x14ac:dyDescent="0.2">
      <c r="A219" s="1766">
        <v>5</v>
      </c>
      <c r="B219" s="1758" t="s">
        <v>1241</v>
      </c>
      <c r="C219" s="1766">
        <v>1</v>
      </c>
      <c r="D219" s="1766"/>
      <c r="E219" s="1758"/>
      <c r="F219" s="1758"/>
      <c r="G219" s="1758"/>
      <c r="H219" s="1758"/>
      <c r="I219" s="1758"/>
      <c r="J219" s="1758"/>
      <c r="K219" s="1758"/>
      <c r="L219" s="1683"/>
      <c r="M219" s="1683"/>
      <c r="N219" s="1683"/>
      <c r="O219" s="1683"/>
      <c r="P219" s="1683"/>
      <c r="Q219" s="1628"/>
      <c r="R219" s="1628"/>
      <c r="S219" s="1628"/>
    </row>
    <row r="220" spans="1:19" x14ac:dyDescent="0.2">
      <c r="A220" s="1758"/>
      <c r="B220" s="1758"/>
      <c r="C220" s="1758"/>
      <c r="D220" s="1758"/>
      <c r="E220" s="1758"/>
      <c r="F220" s="1758"/>
      <c r="G220" s="1758"/>
      <c r="H220" s="1758"/>
      <c r="I220" s="1758"/>
      <c r="J220" s="1758"/>
      <c r="K220" s="1758"/>
      <c r="L220" s="1683"/>
      <c r="M220" s="1683"/>
      <c r="N220" s="1683"/>
      <c r="O220" s="1683"/>
      <c r="P220" s="1683"/>
      <c r="Q220" s="1628"/>
      <c r="R220" s="1628"/>
      <c r="S220" s="1628"/>
    </row>
    <row r="221" spans="1:19" x14ac:dyDescent="0.2">
      <c r="A221" s="1758"/>
      <c r="B221" s="1758"/>
      <c r="C221" s="1758"/>
      <c r="D221" s="1758"/>
      <c r="E221" s="1758"/>
      <c r="F221" s="1758"/>
      <c r="G221" s="1758"/>
      <c r="H221" s="1758"/>
      <c r="I221" s="1758"/>
      <c r="J221" s="1758"/>
      <c r="K221" s="1758"/>
      <c r="L221" s="1683"/>
      <c r="M221" s="1683"/>
      <c r="N221" s="1683"/>
      <c r="O221" s="1683"/>
      <c r="P221" s="1683"/>
      <c r="Q221" s="1628"/>
      <c r="R221" s="1628"/>
      <c r="S221" s="1628"/>
    </row>
    <row r="222" spans="1:19" x14ac:dyDescent="0.2">
      <c r="A222" s="1754" t="s">
        <v>896</v>
      </c>
      <c r="B222" s="1755" t="s">
        <v>897</v>
      </c>
      <c r="C222" s="1748" t="s">
        <v>898</v>
      </c>
      <c r="D222" s="1758"/>
      <c r="E222" s="1758"/>
      <c r="F222" s="1758"/>
      <c r="G222" s="1758"/>
      <c r="H222" s="1758"/>
      <c r="I222" s="1758"/>
      <c r="J222" s="1758"/>
      <c r="K222" s="1758"/>
      <c r="L222" s="1683"/>
      <c r="M222" s="1683"/>
      <c r="N222" s="1683"/>
      <c r="O222" s="1683"/>
      <c r="P222" s="1683"/>
      <c r="Q222" s="1628"/>
      <c r="R222" s="1628"/>
      <c r="S222" s="1628"/>
    </row>
    <row r="223" spans="1:19" x14ac:dyDescent="0.2">
      <c r="A223" s="1757">
        <v>1</v>
      </c>
      <c r="B223" s="1741" t="s">
        <v>78</v>
      </c>
      <c r="C223" s="1764">
        <v>0</v>
      </c>
      <c r="D223" s="1758"/>
      <c r="E223" s="1758"/>
      <c r="F223" s="1758"/>
      <c r="G223" s="1758"/>
      <c r="H223" s="1758"/>
      <c r="I223" s="1758"/>
      <c r="J223" s="1758"/>
      <c r="K223" s="1758"/>
      <c r="L223" s="1683"/>
      <c r="M223" s="1683"/>
      <c r="N223" s="1683"/>
      <c r="O223" s="1683"/>
      <c r="P223" s="1683"/>
      <c r="Q223" s="1628"/>
      <c r="R223" s="1628"/>
      <c r="S223" s="1628"/>
    </row>
    <row r="224" spans="1:19" x14ac:dyDescent="0.2">
      <c r="A224" s="1766">
        <v>2</v>
      </c>
      <c r="B224" s="1741" t="s">
        <v>902</v>
      </c>
      <c r="C224" s="1764">
        <v>8400</v>
      </c>
      <c r="D224" s="1758"/>
      <c r="E224" s="1758"/>
      <c r="F224" s="1758"/>
      <c r="G224" s="1758"/>
      <c r="H224" s="1758"/>
      <c r="I224" s="1758"/>
      <c r="J224" s="1758"/>
      <c r="K224" s="1758"/>
      <c r="L224" s="1683"/>
      <c r="M224" s="1683"/>
      <c r="N224" s="1683"/>
      <c r="O224" s="1683"/>
      <c r="P224" s="1683"/>
      <c r="Q224" s="1628"/>
      <c r="R224" s="1628"/>
      <c r="S224" s="1628"/>
    </row>
    <row r="225" spans="1:19" x14ac:dyDescent="0.2">
      <c r="A225" s="1766">
        <v>3</v>
      </c>
      <c r="B225" s="1767" t="s">
        <v>903</v>
      </c>
      <c r="C225" s="1766">
        <v>8400</v>
      </c>
      <c r="D225" s="1758"/>
      <c r="E225" s="1758"/>
      <c r="F225" s="1758"/>
      <c r="G225" s="1758"/>
      <c r="H225" s="1758"/>
      <c r="I225" s="1758"/>
      <c r="J225" s="1758"/>
      <c r="K225" s="1758"/>
      <c r="L225" s="1683"/>
      <c r="M225" s="1683"/>
      <c r="N225" s="1683"/>
      <c r="O225" s="1683"/>
      <c r="P225" s="1683"/>
      <c r="Q225" s="1628"/>
      <c r="R225" s="1628"/>
      <c r="S225" s="1628"/>
    </row>
    <row r="226" spans="1:19" x14ac:dyDescent="0.2">
      <c r="A226" s="1766">
        <v>4</v>
      </c>
      <c r="B226" s="1767" t="s">
        <v>904</v>
      </c>
      <c r="C226" s="1766">
        <v>16800</v>
      </c>
      <c r="D226" s="1758"/>
      <c r="E226" s="1758"/>
      <c r="F226" s="1758"/>
      <c r="G226" s="1758"/>
      <c r="H226" s="1758"/>
      <c r="I226" s="1758"/>
      <c r="J226" s="1758"/>
      <c r="K226" s="1758"/>
      <c r="L226" s="1683"/>
      <c r="M226" s="1683"/>
      <c r="N226" s="1683"/>
      <c r="O226" s="1683"/>
      <c r="P226" s="1683"/>
      <c r="Q226" s="1628"/>
      <c r="R226" s="1628"/>
      <c r="S226" s="1628"/>
    </row>
    <row r="227" spans="1:19" x14ac:dyDescent="0.2">
      <c r="A227" s="1758"/>
      <c r="B227" s="1758"/>
      <c r="C227" s="1758"/>
      <c r="D227" s="1758"/>
      <c r="E227" s="1758"/>
      <c r="F227" s="1758"/>
      <c r="G227" s="1758"/>
      <c r="H227" s="1758"/>
      <c r="I227" s="1758"/>
      <c r="J227" s="1758"/>
      <c r="K227" s="1758"/>
      <c r="L227" s="1683"/>
      <c r="M227" s="1683"/>
      <c r="N227" s="1683"/>
      <c r="O227" s="1683"/>
      <c r="P227" s="1683"/>
      <c r="Q227" s="1628"/>
      <c r="R227" s="1628"/>
      <c r="S227" s="1628"/>
    </row>
    <row r="228" spans="1:19" x14ac:dyDescent="0.2">
      <c r="A228" s="1758"/>
      <c r="B228" s="1758"/>
      <c r="C228" s="1758"/>
      <c r="D228" s="1758"/>
      <c r="E228" s="1758"/>
      <c r="F228" s="1758"/>
      <c r="G228" s="1758"/>
      <c r="H228" s="1758"/>
      <c r="I228" s="1758"/>
      <c r="J228" s="1758"/>
      <c r="K228" s="1758"/>
      <c r="L228" s="1683"/>
      <c r="M228" s="1683"/>
      <c r="N228" s="1683"/>
      <c r="O228" s="1683"/>
      <c r="P228" s="1683"/>
      <c r="Q228" s="1628"/>
      <c r="R228" s="1628"/>
      <c r="S228" s="1628"/>
    </row>
    <row r="229" spans="1:19" x14ac:dyDescent="0.2">
      <c r="A229" s="1754" t="s">
        <v>131</v>
      </c>
      <c r="B229" s="1755" t="s">
        <v>132</v>
      </c>
      <c r="C229" s="1748" t="s">
        <v>133</v>
      </c>
      <c r="D229" s="1758"/>
      <c r="E229" s="1758"/>
      <c r="F229" s="1758"/>
      <c r="G229" s="1758"/>
      <c r="H229" s="1758"/>
      <c r="I229" s="1758"/>
      <c r="J229" s="1758"/>
      <c r="K229" s="1758"/>
      <c r="L229" s="1683"/>
      <c r="M229" s="1683"/>
      <c r="N229" s="1683"/>
      <c r="O229" s="1683"/>
      <c r="P229" s="1683"/>
      <c r="Q229" s="1628"/>
      <c r="R229" s="1628"/>
      <c r="S229" s="1628"/>
    </row>
    <row r="230" spans="1:19" x14ac:dyDescent="0.2">
      <c r="A230" s="1757">
        <v>1</v>
      </c>
      <c r="B230" s="1745" t="s">
        <v>134</v>
      </c>
      <c r="C230" s="1764">
        <v>0</v>
      </c>
      <c r="D230" s="1758"/>
      <c r="E230" s="1758"/>
      <c r="F230" s="1758"/>
      <c r="G230" s="1758"/>
      <c r="H230" s="1758"/>
      <c r="I230" s="1758"/>
      <c r="J230" s="1758"/>
      <c r="K230" s="1758"/>
      <c r="L230" s="1683"/>
      <c r="M230" s="1683"/>
      <c r="N230" s="1683"/>
      <c r="O230" s="1683"/>
      <c r="P230" s="1683"/>
      <c r="Q230" s="1628"/>
      <c r="R230" s="1628"/>
      <c r="S230" s="1628"/>
    </row>
    <row r="231" spans="1:19" x14ac:dyDescent="0.2">
      <c r="A231" s="1766">
        <v>2</v>
      </c>
      <c r="B231" s="1745" t="s">
        <v>135</v>
      </c>
      <c r="C231" s="1764">
        <v>8400</v>
      </c>
      <c r="D231" s="1758"/>
      <c r="E231" s="1758"/>
      <c r="F231" s="1758"/>
      <c r="G231" s="1758"/>
      <c r="H231" s="1758"/>
      <c r="I231" s="1758"/>
      <c r="J231" s="1758"/>
      <c r="K231" s="1758"/>
      <c r="L231" s="1683"/>
      <c r="M231" s="1683"/>
      <c r="N231" s="1683"/>
      <c r="O231" s="1683"/>
      <c r="P231" s="1683"/>
      <c r="Q231" s="1628"/>
      <c r="R231" s="1628"/>
      <c r="S231" s="1628"/>
    </row>
    <row r="232" spans="1:19" x14ac:dyDescent="0.2">
      <c r="A232" s="1766">
        <v>3</v>
      </c>
      <c r="B232" s="1758" t="s">
        <v>137</v>
      </c>
      <c r="C232" s="1766">
        <v>8400</v>
      </c>
      <c r="D232" s="1758"/>
      <c r="E232" s="1758"/>
      <c r="F232" s="1758"/>
      <c r="G232" s="1758"/>
      <c r="H232" s="1758"/>
      <c r="I232" s="1758"/>
      <c r="J232" s="1758"/>
      <c r="K232" s="1758"/>
      <c r="L232" s="1683"/>
      <c r="M232" s="1683"/>
      <c r="N232" s="1683"/>
      <c r="O232" s="1683"/>
      <c r="P232" s="1683"/>
      <c r="Q232" s="1628"/>
      <c r="R232" s="1628"/>
      <c r="S232" s="1628"/>
    </row>
    <row r="233" spans="1:19" x14ac:dyDescent="0.2">
      <c r="A233" s="1766">
        <v>4</v>
      </c>
      <c r="B233" s="1758" t="s">
        <v>136</v>
      </c>
      <c r="C233" s="1766">
        <v>8400</v>
      </c>
      <c r="D233" s="1758"/>
      <c r="E233" s="1758"/>
      <c r="F233" s="1758"/>
      <c r="G233" s="1758"/>
      <c r="H233" s="1758"/>
      <c r="I233" s="1758"/>
      <c r="J233" s="1758"/>
      <c r="K233" s="1758"/>
      <c r="L233" s="1683"/>
      <c r="M233" s="1683"/>
      <c r="N233" s="1683"/>
      <c r="O233" s="1683"/>
      <c r="P233" s="1683"/>
      <c r="Q233" s="1628"/>
      <c r="R233" s="1628"/>
      <c r="S233" s="1628"/>
    </row>
    <row r="234" spans="1:19" x14ac:dyDescent="0.2">
      <c r="A234" s="1758"/>
      <c r="B234" s="1758"/>
      <c r="C234" s="1758"/>
      <c r="D234" s="1758"/>
      <c r="E234" s="1758"/>
      <c r="F234" s="1758"/>
      <c r="G234" s="1758"/>
      <c r="H234" s="1758"/>
      <c r="I234" s="1758"/>
      <c r="J234" s="1758"/>
      <c r="K234" s="1758"/>
      <c r="L234" s="1683"/>
      <c r="M234" s="1683"/>
      <c r="N234" s="1683"/>
      <c r="O234" s="1683"/>
      <c r="P234" s="1683"/>
      <c r="Q234" s="1628"/>
      <c r="R234" s="1628"/>
      <c r="S234" s="1628"/>
    </row>
    <row r="235" spans="1:19" x14ac:dyDescent="0.2">
      <c r="A235" s="1758"/>
      <c r="B235" s="1758"/>
      <c r="C235" s="1758"/>
      <c r="D235" s="1758"/>
      <c r="E235" s="1758"/>
      <c r="F235" s="1758"/>
      <c r="G235" s="1758"/>
      <c r="H235" s="1758"/>
      <c r="I235" s="1758"/>
      <c r="J235" s="1758"/>
      <c r="K235" s="1758"/>
      <c r="L235" s="1683"/>
      <c r="M235" s="1683"/>
      <c r="N235" s="1683"/>
      <c r="O235" s="1683"/>
      <c r="P235" s="1683"/>
      <c r="Q235" s="1628"/>
      <c r="R235" s="1628"/>
      <c r="S235" s="1628"/>
    </row>
    <row r="236" spans="1:19" x14ac:dyDescent="0.2">
      <c r="A236" s="1758"/>
      <c r="B236" s="1758"/>
      <c r="C236" s="1758"/>
      <c r="D236" s="1758"/>
      <c r="E236" s="1758"/>
      <c r="F236" s="1758"/>
      <c r="G236" s="1758"/>
      <c r="H236" s="1758"/>
      <c r="I236" s="1758"/>
      <c r="J236" s="1758"/>
      <c r="K236" s="1758"/>
      <c r="L236" s="1683"/>
      <c r="M236" s="1683"/>
      <c r="N236" s="1683"/>
      <c r="O236" s="1683"/>
      <c r="P236" s="1683"/>
      <c r="Q236" s="1628"/>
      <c r="R236" s="1628"/>
      <c r="S236" s="1628"/>
    </row>
    <row r="237" spans="1:19" x14ac:dyDescent="0.2">
      <c r="A237" s="1754" t="s">
        <v>138</v>
      </c>
      <c r="B237" s="1755" t="s">
        <v>139</v>
      </c>
      <c r="C237" s="1748" t="s">
        <v>141</v>
      </c>
      <c r="D237" s="1758"/>
      <c r="E237" s="1758"/>
      <c r="F237" s="1758"/>
      <c r="G237" s="1758"/>
      <c r="H237" s="1758"/>
      <c r="I237" s="1758"/>
      <c r="J237" s="1758"/>
      <c r="K237" s="1758"/>
      <c r="L237" s="1683"/>
      <c r="M237" s="1683"/>
      <c r="N237" s="1683"/>
      <c r="O237" s="1683"/>
      <c r="P237" s="1683"/>
      <c r="Q237" s="1628"/>
      <c r="R237" s="1628"/>
      <c r="S237" s="1628"/>
    </row>
    <row r="238" spans="1:19" x14ac:dyDescent="0.2">
      <c r="A238" s="1763">
        <v>1</v>
      </c>
      <c r="B238" s="1745" t="s">
        <v>78</v>
      </c>
      <c r="C238" s="1764">
        <v>0</v>
      </c>
      <c r="D238" s="1758"/>
      <c r="E238" s="1758"/>
      <c r="F238" s="1758"/>
      <c r="G238" s="1758"/>
      <c r="H238" s="1758"/>
      <c r="I238" s="1758"/>
      <c r="J238" s="1758"/>
      <c r="K238" s="1758"/>
      <c r="L238" s="1683"/>
      <c r="M238" s="1683"/>
      <c r="N238" s="1683"/>
      <c r="O238" s="1683"/>
      <c r="P238" s="1683"/>
      <c r="Q238" s="1628"/>
      <c r="R238" s="1628"/>
      <c r="S238" s="1628"/>
    </row>
    <row r="239" spans="1:19" x14ac:dyDescent="0.2">
      <c r="A239" s="1768">
        <v>2</v>
      </c>
      <c r="B239" s="1745" t="s">
        <v>140</v>
      </c>
      <c r="C239" s="1764">
        <v>8400</v>
      </c>
      <c r="D239" s="1758"/>
      <c r="E239" s="1758"/>
      <c r="F239" s="1758"/>
      <c r="G239" s="1758"/>
      <c r="H239" s="1758"/>
      <c r="I239" s="1758"/>
      <c r="J239" s="1758"/>
      <c r="K239" s="1758"/>
      <c r="L239" s="1683"/>
      <c r="M239" s="1683"/>
      <c r="N239" s="1683"/>
      <c r="O239" s="1683"/>
      <c r="P239" s="1683"/>
      <c r="Q239" s="1628"/>
      <c r="R239" s="1628"/>
      <c r="S239" s="1628"/>
    </row>
    <row r="240" spans="1:19" x14ac:dyDescent="0.2">
      <c r="A240" s="1768">
        <v>3</v>
      </c>
      <c r="B240" s="1745" t="s">
        <v>142</v>
      </c>
      <c r="C240" s="1768">
        <v>8400</v>
      </c>
      <c r="D240" s="1758"/>
      <c r="E240" s="1758"/>
      <c r="F240" s="1758"/>
      <c r="G240" s="1758"/>
      <c r="H240" s="1758"/>
      <c r="I240" s="1758"/>
      <c r="J240" s="1758"/>
      <c r="K240" s="1758"/>
      <c r="L240" s="1683"/>
      <c r="M240" s="1683"/>
      <c r="N240" s="1683"/>
      <c r="O240" s="1683"/>
      <c r="P240" s="1683"/>
      <c r="Q240" s="1628"/>
      <c r="R240" s="1628"/>
      <c r="S240" s="1628"/>
    </row>
    <row r="241" spans="1:19" x14ac:dyDescent="0.2">
      <c r="A241" s="1768">
        <v>4</v>
      </c>
      <c r="B241" s="1769" t="s">
        <v>143</v>
      </c>
      <c r="C241" s="1768">
        <v>8400</v>
      </c>
      <c r="D241" s="1758"/>
      <c r="E241" s="1758"/>
      <c r="F241" s="1758"/>
      <c r="G241" s="1758"/>
      <c r="H241" s="1758"/>
      <c r="I241" s="1758"/>
      <c r="J241" s="1758"/>
      <c r="K241" s="1758"/>
      <c r="L241" s="1683"/>
      <c r="M241" s="1683"/>
      <c r="N241" s="1683"/>
      <c r="O241" s="1683"/>
      <c r="P241" s="1683"/>
      <c r="Q241" s="1628"/>
      <c r="R241" s="1628"/>
      <c r="S241" s="1628"/>
    </row>
    <row r="242" spans="1:19" x14ac:dyDescent="0.2">
      <c r="A242" s="1758"/>
      <c r="B242" s="1758"/>
      <c r="C242" s="1758"/>
      <c r="D242" s="1758"/>
      <c r="E242" s="1758"/>
      <c r="F242" s="1758"/>
      <c r="G242" s="1758"/>
      <c r="H242" s="1758"/>
      <c r="I242" s="1758"/>
      <c r="J242" s="1758"/>
      <c r="K242" s="1758"/>
      <c r="L242" s="1683"/>
      <c r="M242" s="1683"/>
      <c r="N242" s="1683"/>
      <c r="O242" s="1683"/>
      <c r="P242" s="1683"/>
      <c r="Q242" s="1628"/>
      <c r="R242" s="1628"/>
      <c r="S242" s="1628"/>
    </row>
    <row r="243" spans="1:19" x14ac:dyDescent="0.2">
      <c r="A243" s="1758"/>
      <c r="B243" s="1758"/>
      <c r="C243" s="1758"/>
      <c r="D243" s="1758"/>
      <c r="E243" s="1758"/>
      <c r="F243" s="1758"/>
      <c r="G243" s="1758"/>
      <c r="H243" s="1758"/>
      <c r="I243" s="1758"/>
      <c r="J243" s="1758"/>
      <c r="K243" s="1758"/>
      <c r="L243" s="1683"/>
      <c r="M243" s="1683"/>
      <c r="N243" s="1683"/>
      <c r="O243" s="1683"/>
      <c r="P243" s="1683"/>
      <c r="Q243" s="1628"/>
      <c r="R243" s="1628"/>
      <c r="S243" s="1628"/>
    </row>
    <row r="244" spans="1:19" x14ac:dyDescent="0.2">
      <c r="A244" s="1758" t="s">
        <v>1386</v>
      </c>
      <c r="B244" s="1758" t="s">
        <v>1387</v>
      </c>
      <c r="C244" s="1758" t="s">
        <v>1385</v>
      </c>
      <c r="D244" s="1758"/>
      <c r="E244" s="1758"/>
      <c r="F244" s="1758"/>
      <c r="G244" s="1758"/>
      <c r="H244" s="1758"/>
      <c r="I244" s="1758"/>
      <c r="J244" s="1758"/>
      <c r="K244" s="1758"/>
      <c r="L244" s="1683"/>
      <c r="M244" s="1683"/>
      <c r="N244" s="1683"/>
      <c r="O244" s="1683"/>
      <c r="P244" s="1683"/>
      <c r="Q244" s="1628"/>
      <c r="R244" s="1628"/>
      <c r="S244" s="1628"/>
    </row>
    <row r="245" spans="1:19" x14ac:dyDescent="0.2">
      <c r="A245" s="1770">
        <v>10</v>
      </c>
      <c r="B245" s="1744">
        <v>25200</v>
      </c>
      <c r="C245" s="1745" t="s">
        <v>595</v>
      </c>
      <c r="D245" s="1770"/>
      <c r="E245" s="1758"/>
      <c r="F245" s="1758"/>
      <c r="G245" s="1758"/>
      <c r="H245" s="1758"/>
      <c r="I245" s="1758"/>
      <c r="J245" s="1758"/>
      <c r="K245" s="1758"/>
      <c r="L245" s="1683"/>
      <c r="M245" s="1683"/>
      <c r="N245" s="1683"/>
      <c r="O245" s="1683"/>
      <c r="P245" s="1683"/>
      <c r="Q245" s="1628"/>
      <c r="R245" s="1628"/>
      <c r="S245" s="1628"/>
    </row>
    <row r="246" spans="1:19" x14ac:dyDescent="0.2">
      <c r="A246" s="1770">
        <v>11</v>
      </c>
      <c r="B246" s="1744">
        <v>32200</v>
      </c>
      <c r="C246" s="1745" t="s">
        <v>599</v>
      </c>
      <c r="D246" s="1770"/>
      <c r="E246" s="1758"/>
      <c r="F246" s="1758"/>
      <c r="G246" s="1758"/>
      <c r="H246" s="1758"/>
      <c r="I246" s="1758"/>
      <c r="J246" s="1758"/>
      <c r="K246" s="1758"/>
      <c r="L246" s="1683"/>
      <c r="M246" s="1683"/>
      <c r="N246" s="1683"/>
      <c r="O246" s="1683"/>
      <c r="P246" s="1683"/>
      <c r="Q246" s="1628"/>
      <c r="R246" s="1628"/>
      <c r="S246" s="1628"/>
    </row>
    <row r="247" spans="1:19" x14ac:dyDescent="0.2">
      <c r="A247" s="1771">
        <v>12</v>
      </c>
      <c r="B247" s="1744">
        <v>29400</v>
      </c>
      <c r="C247" s="1745" t="s">
        <v>603</v>
      </c>
      <c r="D247" s="1771"/>
      <c r="E247" s="1758"/>
      <c r="F247" s="1758"/>
      <c r="G247" s="1758"/>
      <c r="H247" s="1758"/>
      <c r="I247" s="1758"/>
      <c r="J247" s="1758"/>
      <c r="K247" s="1758"/>
      <c r="L247" s="1683"/>
      <c r="M247" s="1683"/>
      <c r="N247" s="1683"/>
      <c r="O247" s="1683"/>
      <c r="P247" s="1683"/>
      <c r="Q247" s="1628"/>
      <c r="R247" s="1628"/>
      <c r="S247" s="1628"/>
    </row>
    <row r="248" spans="1:19" x14ac:dyDescent="0.2">
      <c r="A248" s="1771">
        <v>13</v>
      </c>
      <c r="B248" s="1744">
        <v>36400</v>
      </c>
      <c r="C248" s="1745" t="s">
        <v>605</v>
      </c>
      <c r="D248" s="1771"/>
      <c r="E248" s="1758"/>
      <c r="F248" s="1758"/>
      <c r="G248" s="1758"/>
      <c r="H248" s="1758"/>
      <c r="I248" s="1758"/>
      <c r="J248" s="1758"/>
      <c r="K248" s="1758"/>
      <c r="L248" s="1683"/>
      <c r="M248" s="1683"/>
      <c r="N248" s="1683"/>
      <c r="O248" s="1683"/>
      <c r="P248" s="1683"/>
      <c r="Q248" s="1628"/>
      <c r="R248" s="1628"/>
      <c r="S248" s="1628"/>
    </row>
    <row r="249" spans="1:19" x14ac:dyDescent="0.2">
      <c r="A249" s="1770">
        <v>20</v>
      </c>
      <c r="B249" s="1744">
        <v>33600</v>
      </c>
      <c r="C249" s="1745" t="s">
        <v>609</v>
      </c>
      <c r="D249" s="1770"/>
      <c r="E249" s="1758"/>
      <c r="F249" s="1758"/>
      <c r="G249" s="1758"/>
      <c r="H249" s="1758"/>
      <c r="I249" s="1758"/>
      <c r="J249" s="1758"/>
      <c r="K249" s="1758"/>
      <c r="L249" s="1683"/>
      <c r="M249" s="1683"/>
      <c r="N249" s="1683"/>
      <c r="O249" s="1683"/>
      <c r="P249" s="1683"/>
      <c r="Q249" s="1628"/>
      <c r="R249" s="1628"/>
      <c r="S249" s="1628"/>
    </row>
    <row r="250" spans="1:19" x14ac:dyDescent="0.2">
      <c r="A250" s="1770">
        <v>21</v>
      </c>
      <c r="B250" s="1744">
        <v>40600</v>
      </c>
      <c r="C250" s="1745" t="s">
        <v>612</v>
      </c>
      <c r="D250" s="1770"/>
      <c r="E250" s="1758"/>
      <c r="F250" s="1758"/>
      <c r="G250" s="1758"/>
      <c r="H250" s="1758"/>
      <c r="I250" s="1758"/>
      <c r="J250" s="1758"/>
      <c r="K250" s="1758"/>
      <c r="L250" s="1683"/>
      <c r="M250" s="1683"/>
      <c r="N250" s="1683"/>
      <c r="O250" s="1683"/>
      <c r="P250" s="1683"/>
      <c r="Q250" s="1628"/>
      <c r="R250" s="1628"/>
      <c r="S250" s="1628"/>
    </row>
    <row r="251" spans="1:19" x14ac:dyDescent="0.2">
      <c r="A251" s="1771">
        <v>22</v>
      </c>
      <c r="B251" s="1744">
        <v>42000</v>
      </c>
      <c r="C251" s="1745" t="s">
        <v>614</v>
      </c>
      <c r="D251" s="1771"/>
      <c r="E251" s="1758"/>
      <c r="F251" s="1758"/>
      <c r="G251" s="1758"/>
      <c r="H251" s="1758"/>
      <c r="I251" s="1758"/>
      <c r="J251" s="1758"/>
      <c r="K251" s="1758"/>
      <c r="L251" s="1683"/>
      <c r="M251" s="1683"/>
      <c r="N251" s="1683"/>
      <c r="O251" s="1683"/>
      <c r="P251" s="1683"/>
      <c r="Q251" s="1628"/>
      <c r="R251" s="1628"/>
      <c r="S251" s="1628"/>
    </row>
    <row r="252" spans="1:19" x14ac:dyDescent="0.2">
      <c r="A252" s="1771">
        <v>23</v>
      </c>
      <c r="B252" s="1744">
        <v>49000</v>
      </c>
      <c r="C252" s="1745" t="s">
        <v>616</v>
      </c>
      <c r="D252" s="1771"/>
      <c r="E252" s="1758"/>
      <c r="F252" s="1758"/>
      <c r="G252" s="1758"/>
      <c r="H252" s="1758"/>
      <c r="I252" s="1758"/>
      <c r="J252" s="1758"/>
      <c r="K252" s="1758"/>
      <c r="L252" s="1683"/>
      <c r="M252" s="1683"/>
      <c r="N252" s="1683"/>
      <c r="O252" s="1683"/>
      <c r="P252" s="1683"/>
      <c r="Q252" s="1628"/>
      <c r="R252" s="1628"/>
      <c r="S252" s="1628"/>
    </row>
    <row r="253" spans="1:19" x14ac:dyDescent="0.2">
      <c r="A253" s="1771">
        <v>30</v>
      </c>
      <c r="B253" s="1744">
        <v>39200</v>
      </c>
      <c r="C253" s="1745" t="s">
        <v>619</v>
      </c>
      <c r="D253" s="1771"/>
      <c r="E253" s="1758"/>
      <c r="F253" s="1758"/>
      <c r="G253" s="1758"/>
      <c r="H253" s="1758"/>
      <c r="I253" s="1758"/>
      <c r="J253" s="1758"/>
      <c r="K253" s="1758"/>
      <c r="L253" s="1683"/>
      <c r="M253" s="1683"/>
      <c r="N253" s="1683"/>
      <c r="O253" s="1683"/>
      <c r="P253" s="1683"/>
      <c r="Q253" s="1628"/>
      <c r="R253" s="1628"/>
      <c r="S253" s="1628"/>
    </row>
    <row r="254" spans="1:19" x14ac:dyDescent="0.2">
      <c r="A254" s="1772">
        <v>31</v>
      </c>
      <c r="B254" s="1744">
        <v>46200</v>
      </c>
      <c r="C254" s="1745" t="s">
        <v>623</v>
      </c>
      <c r="D254" s="1772"/>
      <c r="E254" s="1758"/>
      <c r="F254" s="1758"/>
      <c r="G254" s="1758"/>
      <c r="H254" s="1758"/>
      <c r="I254" s="1758"/>
      <c r="J254" s="1758"/>
      <c r="K254" s="1758"/>
      <c r="L254" s="1683"/>
      <c r="M254" s="1683"/>
      <c r="N254" s="1683"/>
      <c r="O254" s="1683"/>
      <c r="P254" s="1683"/>
      <c r="Q254" s="1628"/>
      <c r="R254" s="1628"/>
      <c r="S254" s="1628"/>
    </row>
    <row r="255" spans="1:19" x14ac:dyDescent="0.2">
      <c r="A255" s="1773">
        <v>32</v>
      </c>
      <c r="B255" s="1744">
        <v>43400</v>
      </c>
      <c r="C255" s="1745" t="s">
        <v>627</v>
      </c>
      <c r="D255" s="1773"/>
      <c r="E255" s="1758"/>
      <c r="F255" s="1758"/>
      <c r="G255" s="1758"/>
      <c r="H255" s="1758"/>
      <c r="I255" s="1758"/>
      <c r="J255" s="1758"/>
      <c r="K255" s="1758"/>
      <c r="L255" s="1683"/>
      <c r="M255" s="1683"/>
      <c r="N255" s="1683"/>
      <c r="O255" s="1683"/>
      <c r="P255" s="1683"/>
      <c r="Q255" s="1628"/>
      <c r="R255" s="1628"/>
      <c r="S255" s="1628"/>
    </row>
    <row r="256" spans="1:19" x14ac:dyDescent="0.2">
      <c r="A256" s="1773">
        <v>33</v>
      </c>
      <c r="B256" s="1744">
        <v>50400</v>
      </c>
      <c r="C256" s="1745" t="s">
        <v>629</v>
      </c>
      <c r="D256" s="1773"/>
      <c r="E256" s="1758"/>
      <c r="F256" s="1758"/>
      <c r="G256" s="1758"/>
      <c r="H256" s="1758"/>
      <c r="I256" s="1758"/>
      <c r="J256" s="1758"/>
      <c r="K256" s="1758"/>
      <c r="L256" s="1683"/>
      <c r="M256" s="1683"/>
      <c r="N256" s="1683"/>
      <c r="O256" s="1683"/>
      <c r="P256" s="1683"/>
      <c r="Q256" s="1628"/>
      <c r="R256" s="1628"/>
      <c r="S256" s="1628"/>
    </row>
    <row r="257" spans="1:19" x14ac:dyDescent="0.2">
      <c r="A257" s="1753"/>
      <c r="B257" s="1745"/>
      <c r="C257" s="1744"/>
      <c r="D257" s="1758"/>
      <c r="E257" s="1758"/>
      <c r="F257" s="1758"/>
      <c r="G257" s="1758"/>
      <c r="H257" s="1758"/>
      <c r="I257" s="1758"/>
      <c r="J257" s="1758"/>
      <c r="K257" s="1758"/>
      <c r="L257" s="1683"/>
      <c r="M257" s="1683"/>
      <c r="N257" s="1683"/>
      <c r="O257" s="1683"/>
      <c r="P257" s="1683"/>
      <c r="Q257" s="1628"/>
      <c r="R257" s="1628"/>
      <c r="S257" s="1628"/>
    </row>
    <row r="258" spans="1:19" x14ac:dyDescent="0.2">
      <c r="A258" s="1753"/>
      <c r="B258" s="1745"/>
      <c r="C258" s="1744"/>
      <c r="D258" s="1758"/>
      <c r="E258" s="1758"/>
      <c r="F258" s="1758"/>
      <c r="G258" s="1758"/>
      <c r="H258" s="1758"/>
      <c r="I258" s="1758"/>
      <c r="J258" s="1758"/>
      <c r="K258" s="1758"/>
      <c r="L258" s="1683"/>
      <c r="M258" s="1683"/>
      <c r="N258" s="1683"/>
      <c r="O258" s="1683"/>
      <c r="P258" s="1683"/>
      <c r="Q258" s="1628"/>
      <c r="R258" s="1628"/>
      <c r="S258" s="1628"/>
    </row>
    <row r="259" spans="1:19" x14ac:dyDescent="0.2">
      <c r="A259" s="1758"/>
      <c r="B259" s="1758"/>
      <c r="C259" s="1758"/>
      <c r="D259" s="1758"/>
      <c r="E259" s="1758"/>
      <c r="F259" s="1758"/>
      <c r="G259" s="1758"/>
      <c r="H259" s="1758"/>
      <c r="I259" s="1758"/>
      <c r="J259" s="1758"/>
      <c r="K259" s="1758"/>
      <c r="L259" s="1683"/>
      <c r="M259" s="1683"/>
      <c r="N259" s="1683"/>
      <c r="O259" s="1683"/>
      <c r="P259" s="1683"/>
      <c r="Q259" s="1628"/>
      <c r="R259" s="1628"/>
      <c r="S259" s="1628"/>
    </row>
    <row r="260" spans="1:19" x14ac:dyDescent="0.2">
      <c r="A260" s="1754" t="s">
        <v>890</v>
      </c>
      <c r="B260" s="1755" t="s">
        <v>891</v>
      </c>
      <c r="C260" s="1748" t="s">
        <v>892</v>
      </c>
      <c r="D260" s="1758"/>
      <c r="E260" s="1758"/>
      <c r="F260" s="1758"/>
      <c r="G260" s="1758"/>
      <c r="H260" s="1758"/>
      <c r="I260" s="1758"/>
      <c r="J260" s="1758"/>
      <c r="K260" s="1758"/>
      <c r="L260" s="1683"/>
      <c r="M260" s="1683"/>
      <c r="N260" s="1683"/>
      <c r="O260" s="1683"/>
      <c r="P260" s="1683"/>
      <c r="Q260" s="1628"/>
      <c r="R260" s="1628"/>
      <c r="S260" s="1628"/>
    </row>
    <row r="261" spans="1:19" x14ac:dyDescent="0.2">
      <c r="A261" s="1763">
        <v>1</v>
      </c>
      <c r="B261" s="1745" t="s">
        <v>78</v>
      </c>
      <c r="C261" s="1764">
        <v>0</v>
      </c>
      <c r="D261" s="1758"/>
      <c r="E261" s="1758"/>
      <c r="F261" s="1758"/>
      <c r="G261" s="1758"/>
      <c r="H261" s="1758"/>
      <c r="I261" s="1758"/>
      <c r="J261" s="1758"/>
      <c r="K261" s="1758"/>
      <c r="L261" s="1683"/>
      <c r="M261" s="1683"/>
      <c r="N261" s="1683"/>
      <c r="O261" s="1683"/>
      <c r="P261" s="1683"/>
      <c r="Q261" s="1628"/>
      <c r="R261" s="1628"/>
      <c r="S261" s="1628"/>
    </row>
    <row r="262" spans="1:19" x14ac:dyDescent="0.2">
      <c r="A262" s="1768">
        <v>2</v>
      </c>
      <c r="B262" s="1745" t="s">
        <v>882</v>
      </c>
      <c r="C262" s="1764">
        <v>9100</v>
      </c>
      <c r="D262" s="1758"/>
      <c r="E262" s="1758"/>
      <c r="F262" s="1758"/>
      <c r="G262" s="1758"/>
      <c r="H262" s="1758"/>
      <c r="I262" s="1758"/>
      <c r="J262" s="1758"/>
      <c r="K262" s="1758"/>
      <c r="L262" s="1683"/>
      <c r="M262" s="1683"/>
      <c r="N262" s="1683"/>
      <c r="O262" s="1683"/>
      <c r="P262" s="1683"/>
      <c r="Q262" s="1628"/>
      <c r="R262" s="1628"/>
      <c r="S262" s="1628"/>
    </row>
    <row r="263" spans="1:19" x14ac:dyDescent="0.2">
      <c r="A263" s="1768">
        <v>3</v>
      </c>
      <c r="B263" s="1745" t="s">
        <v>883</v>
      </c>
      <c r="C263" s="1768">
        <v>1400</v>
      </c>
      <c r="D263" s="1758"/>
      <c r="E263" s="1758"/>
      <c r="F263" s="1758"/>
      <c r="G263" s="1758"/>
      <c r="H263" s="1758"/>
      <c r="I263" s="1758"/>
      <c r="J263" s="1758"/>
      <c r="K263" s="1758"/>
      <c r="L263" s="1683"/>
      <c r="M263" s="1683"/>
      <c r="N263" s="1683"/>
      <c r="O263" s="1683"/>
      <c r="P263" s="1683"/>
      <c r="Q263" s="1628"/>
      <c r="R263" s="1628"/>
      <c r="S263" s="1628"/>
    </row>
    <row r="264" spans="1:19" x14ac:dyDescent="0.2">
      <c r="A264" s="1768">
        <v>4</v>
      </c>
      <c r="B264" s="1769" t="s">
        <v>884</v>
      </c>
      <c r="C264" s="1768">
        <v>10500</v>
      </c>
      <c r="D264" s="1758"/>
      <c r="E264" s="1758"/>
      <c r="F264" s="1758"/>
      <c r="G264" s="1758"/>
      <c r="H264" s="1758"/>
      <c r="I264" s="1758"/>
      <c r="J264" s="1758"/>
      <c r="K264" s="1758"/>
      <c r="L264" s="1683"/>
      <c r="M264" s="1683"/>
      <c r="N264" s="1683"/>
      <c r="O264" s="1683"/>
      <c r="P264" s="1683"/>
      <c r="Q264" s="1628"/>
      <c r="R264" s="1628"/>
      <c r="S264" s="1628"/>
    </row>
    <row r="265" spans="1:19" x14ac:dyDescent="0.2">
      <c r="A265" s="1768">
        <v>5</v>
      </c>
      <c r="B265" s="1745" t="s">
        <v>1054</v>
      </c>
      <c r="C265" s="1768">
        <v>16800</v>
      </c>
      <c r="D265" s="1758"/>
      <c r="E265" s="1758"/>
      <c r="F265" s="1758"/>
      <c r="G265" s="1758"/>
      <c r="H265" s="1758"/>
      <c r="I265" s="1758"/>
      <c r="J265" s="1758"/>
      <c r="K265" s="1758"/>
      <c r="L265" s="1683"/>
      <c r="M265" s="1683"/>
      <c r="N265" s="1683"/>
      <c r="O265" s="1683"/>
      <c r="P265" s="1683"/>
      <c r="Q265" s="1628"/>
      <c r="R265" s="1628"/>
      <c r="S265" s="1628"/>
    </row>
    <row r="266" spans="1:19" x14ac:dyDescent="0.2">
      <c r="A266" s="1768">
        <v>6</v>
      </c>
      <c r="B266" s="1745" t="s">
        <v>885</v>
      </c>
      <c r="C266" s="1768">
        <v>16800</v>
      </c>
      <c r="D266" s="1758"/>
      <c r="E266" s="1758"/>
      <c r="F266" s="1758"/>
      <c r="G266" s="1758"/>
      <c r="H266" s="1758"/>
      <c r="I266" s="1758"/>
      <c r="J266" s="1758"/>
      <c r="K266" s="1758"/>
      <c r="L266" s="1683"/>
      <c r="M266" s="1683"/>
      <c r="N266" s="1683"/>
      <c r="O266" s="1683"/>
      <c r="P266" s="1683"/>
      <c r="Q266" s="1628"/>
      <c r="R266" s="1628"/>
      <c r="S266" s="1628"/>
    </row>
    <row r="267" spans="1:19" x14ac:dyDescent="0.2">
      <c r="A267" s="1768">
        <v>7</v>
      </c>
      <c r="B267" s="1745" t="s">
        <v>886</v>
      </c>
      <c r="C267" s="1768">
        <v>18200</v>
      </c>
      <c r="D267" s="1758"/>
      <c r="E267" s="1758"/>
      <c r="F267" s="1758"/>
      <c r="G267" s="1758"/>
      <c r="H267" s="1758"/>
      <c r="I267" s="1758"/>
      <c r="J267" s="1758"/>
      <c r="K267" s="1758"/>
      <c r="L267" s="1683"/>
      <c r="M267" s="1683"/>
      <c r="N267" s="1683"/>
      <c r="O267" s="1683"/>
      <c r="P267" s="1683"/>
      <c r="Q267" s="1628"/>
      <c r="R267" s="1628"/>
      <c r="S267" s="1628"/>
    </row>
    <row r="268" spans="1:19" x14ac:dyDescent="0.2">
      <c r="A268" s="1768">
        <v>8</v>
      </c>
      <c r="B268" s="1745" t="s">
        <v>887</v>
      </c>
      <c r="C268" s="1768">
        <v>27300</v>
      </c>
      <c r="D268" s="1758"/>
      <c r="E268" s="1758"/>
      <c r="F268" s="1758"/>
      <c r="G268" s="1758"/>
      <c r="H268" s="1758"/>
      <c r="I268" s="1758"/>
      <c r="J268" s="1758"/>
      <c r="K268" s="1758"/>
      <c r="L268" s="1683"/>
      <c r="M268" s="1683"/>
      <c r="N268" s="1683"/>
      <c r="O268" s="1683"/>
      <c r="P268" s="1683"/>
      <c r="Q268" s="1628"/>
      <c r="R268" s="1628"/>
      <c r="S268" s="1628"/>
    </row>
    <row r="269" spans="1:19" x14ac:dyDescent="0.2">
      <c r="A269" s="1768">
        <v>9</v>
      </c>
      <c r="B269" s="1745" t="s">
        <v>889</v>
      </c>
      <c r="C269" s="1768">
        <v>16800</v>
      </c>
      <c r="D269" s="1758"/>
      <c r="E269" s="1758"/>
      <c r="F269" s="1758"/>
      <c r="G269" s="1758"/>
      <c r="H269" s="1758"/>
      <c r="I269" s="1758"/>
      <c r="J269" s="1758"/>
      <c r="K269" s="1758"/>
      <c r="L269" s="1683"/>
      <c r="M269" s="1683"/>
      <c r="N269" s="1683"/>
      <c r="O269" s="1683"/>
      <c r="P269" s="1683"/>
      <c r="Q269" s="1628"/>
      <c r="R269" s="1628"/>
      <c r="S269" s="1628"/>
    </row>
    <row r="270" spans="1:19" x14ac:dyDescent="0.2">
      <c r="A270" s="1768">
        <v>10</v>
      </c>
      <c r="B270" s="1745" t="s">
        <v>888</v>
      </c>
      <c r="C270" s="1768">
        <v>33600</v>
      </c>
      <c r="D270" s="1758"/>
      <c r="E270" s="1758"/>
      <c r="F270" s="1758"/>
      <c r="G270" s="1758"/>
      <c r="H270" s="1758"/>
      <c r="I270" s="1758"/>
      <c r="J270" s="1758"/>
      <c r="K270" s="1758"/>
      <c r="L270" s="1683"/>
      <c r="M270" s="1683"/>
      <c r="N270" s="1683"/>
      <c r="O270" s="1683"/>
      <c r="P270" s="1683"/>
      <c r="Q270" s="1628"/>
      <c r="R270" s="1628"/>
      <c r="S270" s="1628"/>
    </row>
    <row r="271" spans="1:19" x14ac:dyDescent="0.2">
      <c r="A271" s="1758"/>
      <c r="B271" s="1758"/>
      <c r="C271" s="1758"/>
      <c r="D271" s="1758"/>
      <c r="E271" s="1758"/>
      <c r="F271" s="1758"/>
      <c r="G271" s="1758"/>
      <c r="H271" s="1758"/>
      <c r="I271" s="1758"/>
      <c r="J271" s="1758"/>
      <c r="K271" s="1758"/>
      <c r="L271" s="1683"/>
      <c r="M271" s="1683"/>
      <c r="N271" s="1683"/>
      <c r="O271" s="1683"/>
      <c r="P271" s="1683"/>
      <c r="Q271" s="1628"/>
      <c r="R271" s="1628"/>
      <c r="S271" s="1628"/>
    </row>
    <row r="272" spans="1:19" x14ac:dyDescent="0.2">
      <c r="A272" s="1683"/>
      <c r="B272" s="1683"/>
      <c r="C272" s="1683"/>
      <c r="D272" s="1683"/>
      <c r="E272" s="1683"/>
      <c r="F272" s="1683"/>
      <c r="G272" s="1683"/>
      <c r="H272" s="1683"/>
      <c r="I272" s="1683"/>
      <c r="J272" s="1683"/>
      <c r="K272" s="1683"/>
      <c r="L272" s="1683"/>
      <c r="M272" s="1683"/>
      <c r="N272" s="1683"/>
      <c r="O272" s="1683"/>
      <c r="P272" s="1683"/>
      <c r="Q272" s="1628"/>
      <c r="R272" s="1628"/>
      <c r="S272" s="1628"/>
    </row>
    <row r="273" spans="1:19" x14ac:dyDescent="0.2">
      <c r="A273" s="1683"/>
      <c r="B273" s="1683"/>
      <c r="C273" s="1683"/>
      <c r="D273" s="1683"/>
      <c r="E273" s="1683"/>
      <c r="F273" s="1683"/>
      <c r="G273" s="1683"/>
      <c r="H273" s="1683"/>
      <c r="I273" s="1683"/>
      <c r="J273" s="1683"/>
      <c r="K273" s="1683"/>
      <c r="L273" s="1683"/>
      <c r="M273" s="1683"/>
      <c r="N273" s="1683"/>
      <c r="O273" s="1683"/>
      <c r="P273" s="1683"/>
      <c r="Q273" s="1628"/>
      <c r="R273" s="1628"/>
      <c r="S273" s="1628"/>
    </row>
    <row r="274" spans="1:19" x14ac:dyDescent="0.2">
      <c r="A274" s="1683"/>
      <c r="B274" s="1683"/>
      <c r="C274" s="1683"/>
      <c r="D274" s="1683"/>
      <c r="E274" s="1683"/>
      <c r="F274" s="1683"/>
      <c r="G274" s="1683"/>
      <c r="H274" s="1683"/>
      <c r="I274" s="1683"/>
      <c r="J274" s="1683"/>
      <c r="K274" s="1683"/>
      <c r="L274" s="1683"/>
      <c r="M274" s="1683"/>
      <c r="N274" s="1683"/>
      <c r="O274" s="1683"/>
      <c r="P274" s="1683"/>
      <c r="Q274" s="1628"/>
      <c r="R274" s="1628"/>
      <c r="S274" s="1628"/>
    </row>
    <row r="275" spans="1:19" x14ac:dyDescent="0.2">
      <c r="A275" s="1683"/>
      <c r="B275" s="1683"/>
      <c r="C275" s="1683"/>
      <c r="D275" s="1683"/>
      <c r="E275" s="1683"/>
      <c r="F275" s="1683"/>
      <c r="G275" s="1683"/>
      <c r="H275" s="1683"/>
      <c r="I275" s="1683"/>
      <c r="J275" s="1683"/>
      <c r="K275" s="1683"/>
      <c r="L275" s="1683"/>
      <c r="M275" s="1683"/>
      <c r="N275" s="1683"/>
      <c r="O275" s="1683"/>
      <c r="P275" s="1683"/>
      <c r="Q275" s="1628"/>
      <c r="R275" s="1628"/>
      <c r="S275" s="1628"/>
    </row>
    <row r="276" spans="1:19" x14ac:dyDescent="0.2">
      <c r="A276" s="1683"/>
      <c r="B276" s="1683"/>
      <c r="C276" s="1683"/>
      <c r="D276" s="1683"/>
      <c r="E276" s="1683"/>
      <c r="F276" s="1683"/>
      <c r="G276" s="1683"/>
      <c r="H276" s="1683"/>
      <c r="I276" s="1683"/>
      <c r="J276" s="1683"/>
      <c r="K276" s="1683"/>
      <c r="L276" s="1683"/>
      <c r="M276" s="1683"/>
      <c r="N276" s="1683"/>
      <c r="O276" s="1683"/>
      <c r="P276" s="1683"/>
      <c r="Q276" s="1628"/>
      <c r="R276" s="1628"/>
      <c r="S276" s="1628"/>
    </row>
    <row r="277" spans="1:19" x14ac:dyDescent="0.2">
      <c r="A277" s="1683"/>
      <c r="B277" s="1683"/>
      <c r="C277" s="1683"/>
      <c r="D277" s="1683"/>
      <c r="E277" s="1683"/>
      <c r="F277" s="1683"/>
      <c r="G277" s="1683"/>
      <c r="H277" s="1683"/>
      <c r="I277" s="1683"/>
      <c r="J277" s="1683"/>
      <c r="K277" s="1683"/>
      <c r="L277" s="1683"/>
      <c r="M277" s="1683"/>
      <c r="N277" s="1683"/>
      <c r="O277" s="1683"/>
      <c r="P277" s="1683"/>
      <c r="Q277" s="1628"/>
      <c r="R277" s="1628"/>
      <c r="S277" s="1628"/>
    </row>
    <row r="278" spans="1:19" x14ac:dyDescent="0.2">
      <c r="A278" s="1683"/>
      <c r="B278" s="1683"/>
      <c r="C278" s="1683"/>
      <c r="D278" s="1683"/>
      <c r="E278" s="1683"/>
      <c r="F278" s="1683"/>
      <c r="G278" s="1683"/>
      <c r="H278" s="1683"/>
      <c r="I278" s="1683"/>
      <c r="J278" s="1683"/>
      <c r="K278" s="1683"/>
      <c r="L278" s="1683"/>
      <c r="M278" s="1683"/>
      <c r="N278" s="1683"/>
      <c r="O278" s="1683"/>
      <c r="P278" s="1683"/>
      <c r="Q278" s="1628"/>
      <c r="R278" s="1628"/>
      <c r="S278" s="1628"/>
    </row>
    <row r="279" spans="1:19" x14ac:dyDescent="0.2">
      <c r="A279" s="1683"/>
      <c r="B279" s="1683"/>
      <c r="C279" s="1683"/>
      <c r="D279" s="1683"/>
      <c r="E279" s="1683"/>
      <c r="F279" s="1683"/>
      <c r="G279" s="1683"/>
      <c r="H279" s="1683"/>
      <c r="I279" s="1683"/>
      <c r="J279" s="1683"/>
      <c r="K279" s="1683"/>
      <c r="L279" s="1683"/>
      <c r="M279" s="1683"/>
      <c r="N279" s="1683"/>
      <c r="O279" s="1683"/>
      <c r="P279" s="1683"/>
      <c r="Q279" s="1628"/>
      <c r="R279" s="1628"/>
      <c r="S279" s="1628"/>
    </row>
    <row r="280" spans="1:19" x14ac:dyDescent="0.2">
      <c r="A280" s="1683"/>
      <c r="B280" s="1683"/>
      <c r="C280" s="1683"/>
      <c r="D280" s="1683"/>
      <c r="E280" s="1683"/>
      <c r="F280" s="1683"/>
      <c r="G280" s="1683"/>
      <c r="H280" s="1683"/>
      <c r="I280" s="1683"/>
      <c r="J280" s="1683"/>
      <c r="K280" s="1683"/>
      <c r="L280" s="1683"/>
      <c r="M280" s="1683"/>
      <c r="N280" s="1683"/>
      <c r="O280" s="1683"/>
      <c r="P280" s="1683"/>
      <c r="Q280" s="1628"/>
      <c r="R280" s="1628"/>
      <c r="S280" s="1628"/>
    </row>
    <row r="281" spans="1:19" x14ac:dyDescent="0.2">
      <c r="A281" s="1683"/>
      <c r="B281" s="1683"/>
      <c r="C281" s="1683"/>
      <c r="D281" s="1683"/>
      <c r="E281" s="1683"/>
      <c r="F281" s="1683"/>
      <c r="G281" s="1683"/>
      <c r="H281" s="1683"/>
      <c r="I281" s="1683"/>
      <c r="J281" s="1683"/>
      <c r="K281" s="1683"/>
      <c r="L281" s="1683"/>
      <c r="M281" s="1683"/>
      <c r="N281" s="1683"/>
      <c r="O281" s="1683"/>
      <c r="P281" s="1683"/>
      <c r="Q281" s="1628"/>
      <c r="R281" s="1628"/>
      <c r="S281" s="1628"/>
    </row>
    <row r="282" spans="1:19" x14ac:dyDescent="0.2">
      <c r="A282" s="1683"/>
      <c r="B282" s="1683"/>
      <c r="C282" s="1683"/>
      <c r="D282" s="1683"/>
      <c r="E282" s="1683"/>
      <c r="F282" s="1683"/>
      <c r="G282" s="1683"/>
      <c r="H282" s="1683"/>
      <c r="I282" s="1683"/>
      <c r="J282" s="1683"/>
      <c r="K282" s="1683"/>
      <c r="L282" s="1683"/>
      <c r="M282" s="1683"/>
      <c r="N282" s="1683"/>
      <c r="O282" s="1683"/>
      <c r="P282" s="1683"/>
      <c r="Q282" s="1628"/>
      <c r="R282" s="1628"/>
      <c r="S282" s="1628"/>
    </row>
    <row r="283" spans="1:19" x14ac:dyDescent="0.2">
      <c r="A283" s="1683"/>
      <c r="B283" s="1683"/>
      <c r="C283" s="1683"/>
      <c r="D283" s="1683"/>
      <c r="E283" s="1683"/>
      <c r="F283" s="1683"/>
      <c r="G283" s="1683"/>
      <c r="H283" s="1683"/>
      <c r="I283" s="1683"/>
      <c r="J283" s="1683"/>
      <c r="K283" s="1683"/>
      <c r="L283" s="1683"/>
      <c r="M283" s="1683"/>
      <c r="N283" s="1683"/>
      <c r="O283" s="1683"/>
      <c r="P283" s="1683"/>
      <c r="Q283" s="1628"/>
      <c r="R283" s="1628"/>
      <c r="S283" s="1628"/>
    </row>
    <row r="284" spans="1:19" x14ac:dyDescent="0.2">
      <c r="A284" s="1683"/>
      <c r="B284" s="1683"/>
      <c r="C284" s="1683"/>
      <c r="D284" s="1683"/>
      <c r="E284" s="1683"/>
      <c r="F284" s="1683"/>
      <c r="G284" s="1683"/>
      <c r="H284" s="1683"/>
      <c r="I284" s="1683"/>
      <c r="J284" s="1683"/>
      <c r="K284" s="1683"/>
      <c r="L284" s="1683"/>
      <c r="M284" s="1683"/>
      <c r="N284" s="1683"/>
      <c r="O284" s="1683"/>
      <c r="P284" s="1683"/>
      <c r="Q284" s="1577"/>
    </row>
    <row r="285" spans="1:19" x14ac:dyDescent="0.2">
      <c r="A285" s="1683"/>
      <c r="B285" s="1683"/>
      <c r="C285" s="1683"/>
      <c r="D285" s="1683"/>
      <c r="E285" s="1683"/>
      <c r="F285" s="1683"/>
      <c r="G285" s="1683"/>
      <c r="H285" s="1683"/>
      <c r="I285" s="1683"/>
      <c r="J285" s="1683"/>
      <c r="K285" s="1683"/>
      <c r="L285" s="1683"/>
      <c r="M285" s="1683"/>
      <c r="N285" s="1683"/>
      <c r="O285" s="1683"/>
      <c r="P285" s="1683"/>
    </row>
    <row r="286" spans="1:19" x14ac:dyDescent="0.2">
      <c r="A286" s="1683"/>
      <c r="B286" s="1683"/>
      <c r="C286" s="1683"/>
      <c r="D286" s="1683"/>
      <c r="E286" s="1683"/>
      <c r="F286" s="1683"/>
      <c r="G286" s="1683"/>
      <c r="H286" s="1683"/>
      <c r="I286" s="1683"/>
      <c r="J286" s="1683"/>
      <c r="K286" s="1683"/>
      <c r="L286" s="1683"/>
      <c r="M286" s="1683"/>
      <c r="N286" s="1683"/>
      <c r="O286" s="1683"/>
      <c r="P286" s="1683"/>
    </row>
    <row r="287" spans="1:19" x14ac:dyDescent="0.2">
      <c r="A287" s="1683"/>
      <c r="B287" s="1683"/>
      <c r="C287" s="1683"/>
      <c r="D287" s="1683"/>
      <c r="E287" s="1683"/>
      <c r="F287" s="1683"/>
      <c r="G287" s="1683"/>
      <c r="H287" s="1683"/>
      <c r="I287" s="1683"/>
      <c r="J287" s="1683"/>
      <c r="K287" s="1683"/>
      <c r="L287" s="1683"/>
      <c r="M287" s="1683"/>
      <c r="N287" s="1683"/>
      <c r="O287" s="1683"/>
      <c r="P287" s="1683"/>
    </row>
    <row r="288" spans="1:19" x14ac:dyDescent="0.2">
      <c r="A288" s="1683"/>
      <c r="B288" s="1683"/>
      <c r="C288" s="1683"/>
      <c r="D288" s="1683"/>
      <c r="E288" s="1683"/>
      <c r="F288" s="1683"/>
      <c r="G288" s="1683"/>
      <c r="H288" s="1683"/>
      <c r="I288" s="1683"/>
      <c r="J288" s="1683"/>
      <c r="K288" s="1683"/>
      <c r="L288" s="1683"/>
      <c r="M288" s="1683"/>
      <c r="N288" s="1683"/>
      <c r="O288" s="1683"/>
      <c r="P288" s="1683"/>
    </row>
    <row r="289" spans="1:16" x14ac:dyDescent="0.2">
      <c r="A289" s="1683"/>
      <c r="B289" s="1683"/>
      <c r="C289" s="1683"/>
      <c r="D289" s="1683"/>
      <c r="E289" s="1683"/>
      <c r="F289" s="1683"/>
      <c r="G289" s="1683"/>
      <c r="H289" s="1683"/>
      <c r="I289" s="1683"/>
      <c r="J289" s="1683"/>
      <c r="K289" s="1683"/>
      <c r="L289" s="1683"/>
      <c r="M289" s="1683"/>
      <c r="N289" s="1683"/>
      <c r="O289" s="1683"/>
      <c r="P289" s="1683"/>
    </row>
    <row r="290" spans="1:16" x14ac:dyDescent="0.2">
      <c r="A290" s="1683"/>
      <c r="B290" s="1683"/>
      <c r="C290" s="1683"/>
      <c r="D290" s="1683"/>
      <c r="E290" s="1683"/>
      <c r="F290" s="1683"/>
      <c r="G290" s="1683"/>
      <c r="H290" s="1683"/>
      <c r="I290" s="1683"/>
      <c r="J290" s="1683"/>
      <c r="K290" s="1683"/>
      <c r="L290" s="1683"/>
      <c r="M290" s="1683"/>
      <c r="N290" s="1683"/>
      <c r="O290" s="1683"/>
      <c r="P290" s="1683"/>
    </row>
    <row r="291" spans="1:16" x14ac:dyDescent="0.2">
      <c r="A291" s="1683"/>
      <c r="B291" s="1683"/>
      <c r="C291" s="1683"/>
      <c r="D291" s="1683"/>
      <c r="E291" s="1683"/>
      <c r="F291" s="1683"/>
      <c r="G291" s="1683"/>
      <c r="H291" s="1683"/>
      <c r="I291" s="1683"/>
      <c r="J291" s="1683"/>
      <c r="K291" s="1683"/>
      <c r="L291" s="1683"/>
      <c r="M291" s="1683"/>
      <c r="N291" s="1683"/>
      <c r="O291" s="1683"/>
      <c r="P291" s="1683"/>
    </row>
    <row r="292" spans="1:16" x14ac:dyDescent="0.2">
      <c r="A292" s="1683"/>
      <c r="B292" s="1683"/>
      <c r="C292" s="1683"/>
      <c r="D292" s="1683"/>
      <c r="E292" s="1683"/>
      <c r="F292" s="1683"/>
      <c r="G292" s="1683"/>
      <c r="H292" s="1683"/>
      <c r="I292" s="1683"/>
      <c r="J292" s="1683"/>
      <c r="K292" s="1683"/>
      <c r="L292" s="1683"/>
      <c r="M292" s="1683"/>
      <c r="N292" s="1683"/>
      <c r="O292" s="1683"/>
      <c r="P292" s="1683"/>
    </row>
    <row r="293" spans="1:16" x14ac:dyDescent="0.2">
      <c r="A293" s="1683"/>
      <c r="B293" s="1683"/>
      <c r="C293" s="1683"/>
      <c r="D293" s="1683"/>
      <c r="E293" s="1683"/>
      <c r="F293" s="1683"/>
      <c r="G293" s="1683"/>
      <c r="H293" s="1683"/>
      <c r="I293" s="1683"/>
      <c r="J293" s="1683"/>
      <c r="K293" s="1683"/>
      <c r="L293" s="1683"/>
      <c r="M293" s="1683"/>
      <c r="N293" s="1683"/>
      <c r="O293" s="1683"/>
      <c r="P293" s="1683"/>
    </row>
    <row r="294" spans="1:16" x14ac:dyDescent="0.2">
      <c r="A294" s="1683"/>
      <c r="B294" s="1683"/>
      <c r="C294" s="1683"/>
      <c r="D294" s="1683"/>
      <c r="E294" s="1683"/>
      <c r="F294" s="1683"/>
      <c r="G294" s="1683"/>
      <c r="H294" s="1683"/>
      <c r="I294" s="1683"/>
      <c r="J294" s="1683"/>
      <c r="K294" s="1683"/>
      <c r="L294" s="1683"/>
      <c r="M294" s="1683"/>
      <c r="N294" s="1683"/>
      <c r="O294" s="1683"/>
      <c r="P294" s="1683"/>
    </row>
    <row r="295" spans="1:16" x14ac:dyDescent="0.2">
      <c r="A295" s="1683"/>
      <c r="B295" s="1683"/>
      <c r="C295" s="1683"/>
      <c r="D295" s="1683"/>
      <c r="E295" s="1683"/>
      <c r="F295" s="1683"/>
      <c r="G295" s="1683"/>
      <c r="H295" s="1683"/>
      <c r="I295" s="1683"/>
      <c r="J295" s="1683"/>
      <c r="K295" s="1683"/>
      <c r="L295" s="1683"/>
      <c r="M295" s="1683"/>
      <c r="N295" s="1683"/>
      <c r="O295" s="1683"/>
      <c r="P295" s="1683"/>
    </row>
    <row r="296" spans="1:16" x14ac:dyDescent="0.2">
      <c r="A296" s="1683"/>
      <c r="B296" s="1683"/>
      <c r="C296" s="1683"/>
      <c r="D296" s="1683"/>
      <c r="E296" s="1683"/>
      <c r="F296" s="1683"/>
      <c r="G296" s="1683"/>
      <c r="H296" s="1683"/>
      <c r="I296" s="1683"/>
      <c r="J296" s="1683"/>
      <c r="K296" s="1683"/>
      <c r="L296" s="1683"/>
      <c r="M296" s="1683"/>
      <c r="N296" s="1683"/>
      <c r="O296" s="1683"/>
      <c r="P296" s="1683"/>
    </row>
    <row r="297" spans="1:16" x14ac:dyDescent="0.2">
      <c r="A297" s="1683"/>
      <c r="B297" s="1683"/>
      <c r="C297" s="1683"/>
      <c r="D297" s="1683"/>
      <c r="E297" s="1683"/>
      <c r="F297" s="1683"/>
      <c r="G297" s="1683"/>
      <c r="H297" s="1683"/>
      <c r="I297" s="1683"/>
      <c r="J297" s="1683"/>
      <c r="K297" s="1683"/>
      <c r="L297" s="1683"/>
      <c r="M297" s="1683"/>
      <c r="N297" s="1683"/>
      <c r="O297" s="1683"/>
      <c r="P297" s="1683"/>
    </row>
    <row r="298" spans="1:16" x14ac:dyDescent="0.2">
      <c r="A298" s="1683"/>
      <c r="B298" s="1683"/>
      <c r="C298" s="1683"/>
      <c r="D298" s="1683"/>
      <c r="E298" s="1683"/>
      <c r="F298" s="1683"/>
      <c r="G298" s="1683"/>
      <c r="H298" s="1683"/>
      <c r="I298" s="1683"/>
      <c r="J298" s="1683"/>
      <c r="K298" s="1683"/>
      <c r="L298" s="1683"/>
      <c r="M298" s="1683"/>
      <c r="N298" s="1683"/>
      <c r="O298" s="1683"/>
      <c r="P298" s="1683"/>
    </row>
    <row r="299" spans="1:16" x14ac:dyDescent="0.2">
      <c r="A299" s="1683"/>
      <c r="B299" s="1683"/>
      <c r="C299" s="1683"/>
      <c r="D299" s="1683"/>
      <c r="E299" s="1683"/>
      <c r="F299" s="1683"/>
      <c r="G299" s="1683"/>
      <c r="H299" s="1683"/>
      <c r="I299" s="1683"/>
      <c r="J299" s="1683"/>
      <c r="K299" s="1683"/>
      <c r="L299" s="1683"/>
      <c r="M299" s="1683"/>
      <c r="N299" s="1683"/>
      <c r="O299" s="1683"/>
      <c r="P299" s="1683"/>
    </row>
    <row r="300" spans="1:16" x14ac:dyDescent="0.2">
      <c r="A300" s="1683"/>
      <c r="B300" s="1683"/>
      <c r="C300" s="1683"/>
      <c r="D300" s="1683"/>
      <c r="E300" s="1683"/>
      <c r="F300" s="1683"/>
      <c r="G300" s="1683"/>
      <c r="H300" s="1683"/>
      <c r="I300" s="1683"/>
      <c r="J300" s="1683"/>
      <c r="K300" s="1683"/>
      <c r="L300" s="1683"/>
      <c r="M300" s="1683"/>
      <c r="N300" s="1683"/>
      <c r="O300" s="1683"/>
      <c r="P300" s="1683"/>
    </row>
    <row r="301" spans="1:16" x14ac:dyDescent="0.2">
      <c r="A301" s="1683"/>
      <c r="B301" s="1683"/>
      <c r="C301" s="1683"/>
      <c r="D301" s="1683"/>
      <c r="E301" s="1683"/>
      <c r="F301" s="1683"/>
      <c r="G301" s="1683"/>
      <c r="H301" s="1683"/>
      <c r="I301" s="1683"/>
      <c r="J301" s="1683"/>
      <c r="K301" s="1683"/>
      <c r="L301" s="1683"/>
      <c r="M301" s="1683"/>
      <c r="N301" s="1683"/>
      <c r="O301" s="1683"/>
      <c r="P301" s="1683"/>
    </row>
    <row r="302" spans="1:16" x14ac:dyDescent="0.2">
      <c r="A302" s="1683"/>
      <c r="B302" s="1683"/>
      <c r="C302" s="1683"/>
      <c r="D302" s="1683"/>
      <c r="E302" s="1683"/>
      <c r="F302" s="1683"/>
      <c r="G302" s="1683"/>
      <c r="H302" s="1683"/>
      <c r="I302" s="1683"/>
      <c r="J302" s="1683"/>
      <c r="K302" s="1683"/>
      <c r="L302" s="1683"/>
      <c r="M302" s="1683"/>
      <c r="N302" s="1683"/>
      <c r="O302" s="1683"/>
      <c r="P302" s="1683"/>
    </row>
    <row r="303" spans="1:16" x14ac:dyDescent="0.2">
      <c r="A303" s="1683"/>
      <c r="B303" s="1683"/>
      <c r="C303" s="1683"/>
      <c r="D303" s="1683"/>
      <c r="E303" s="1683"/>
      <c r="F303" s="1683"/>
      <c r="G303" s="1683"/>
      <c r="H303" s="1683"/>
      <c r="I303" s="1683"/>
      <c r="J303" s="1683"/>
      <c r="K303" s="1683"/>
      <c r="L303" s="1683"/>
      <c r="M303" s="1683"/>
      <c r="N303" s="1683"/>
      <c r="O303" s="1683"/>
      <c r="P303" s="1683"/>
    </row>
    <row r="304" spans="1:16" x14ac:dyDescent="0.2">
      <c r="A304" s="1683"/>
      <c r="B304" s="1683"/>
      <c r="C304" s="1683"/>
      <c r="D304" s="1683"/>
      <c r="E304" s="1683"/>
      <c r="F304" s="1683"/>
      <c r="G304" s="1683"/>
      <c r="H304" s="1683"/>
      <c r="I304" s="1683"/>
      <c r="J304" s="1683"/>
      <c r="K304" s="1683"/>
      <c r="L304" s="1683"/>
      <c r="M304" s="1683"/>
      <c r="N304" s="1683"/>
      <c r="O304" s="1683"/>
      <c r="P304" s="1683"/>
    </row>
    <row r="305" spans="1:16" x14ac:dyDescent="0.2">
      <c r="A305" s="1683"/>
      <c r="B305" s="1683"/>
      <c r="C305" s="1683"/>
      <c r="D305" s="1683"/>
      <c r="E305" s="1683"/>
      <c r="F305" s="1683"/>
      <c r="G305" s="1683"/>
      <c r="H305" s="1683"/>
      <c r="I305" s="1683"/>
      <c r="J305" s="1683"/>
      <c r="K305" s="1683"/>
      <c r="L305" s="1683"/>
      <c r="M305" s="1683"/>
      <c r="N305" s="1683"/>
      <c r="O305" s="1683"/>
      <c r="P305" s="1683"/>
    </row>
    <row r="306" spans="1:16" x14ac:dyDescent="0.2">
      <c r="A306" s="1683"/>
      <c r="B306" s="1683"/>
      <c r="C306" s="1683"/>
      <c r="D306" s="1683"/>
      <c r="E306" s="1683"/>
      <c r="F306" s="1683"/>
      <c r="G306" s="1683"/>
      <c r="H306" s="1683"/>
      <c r="I306" s="1683"/>
      <c r="J306" s="1683"/>
      <c r="K306" s="1683"/>
      <c r="L306" s="1683"/>
      <c r="M306" s="1683"/>
      <c r="N306" s="1683"/>
      <c r="O306" s="1683"/>
      <c r="P306" s="1683"/>
    </row>
    <row r="307" spans="1:16" x14ac:dyDescent="0.2">
      <c r="A307" s="1683"/>
      <c r="B307" s="1683"/>
      <c r="C307" s="1683"/>
      <c r="D307" s="1683"/>
      <c r="E307" s="1683"/>
      <c r="F307" s="1683"/>
      <c r="G307" s="1683"/>
      <c r="H307" s="1683"/>
      <c r="I307" s="1683"/>
      <c r="J307" s="1683"/>
      <c r="K307" s="1683"/>
      <c r="L307" s="1683"/>
      <c r="M307" s="1683"/>
      <c r="N307" s="1683"/>
      <c r="O307" s="1683"/>
      <c r="P307" s="1683"/>
    </row>
    <row r="308" spans="1:16" x14ac:dyDescent="0.2">
      <c r="A308" s="1683"/>
      <c r="B308" s="1683"/>
      <c r="C308" s="1683"/>
      <c r="D308" s="1683"/>
      <c r="E308" s="1683"/>
      <c r="F308" s="1683"/>
      <c r="G308" s="1683"/>
      <c r="H308" s="1683"/>
      <c r="I308" s="1683"/>
      <c r="J308" s="1683"/>
      <c r="K308" s="1683"/>
      <c r="L308" s="1683"/>
      <c r="M308" s="1683"/>
      <c r="N308" s="1683"/>
      <c r="O308" s="1683"/>
      <c r="P308" s="1683"/>
    </row>
    <row r="309" spans="1:16" x14ac:dyDescent="0.2">
      <c r="A309" s="1683"/>
      <c r="B309" s="1683"/>
      <c r="C309" s="1683"/>
      <c r="D309" s="1683"/>
      <c r="E309" s="1683"/>
      <c r="F309" s="1683"/>
      <c r="G309" s="1683"/>
      <c r="H309" s="1683"/>
      <c r="I309" s="1683"/>
      <c r="J309" s="1683"/>
      <c r="K309" s="1683"/>
      <c r="L309" s="1683"/>
      <c r="M309" s="1683"/>
      <c r="N309" s="1683"/>
      <c r="O309" s="1683"/>
      <c r="P309" s="1683"/>
    </row>
    <row r="310" spans="1:16" x14ac:dyDescent="0.2">
      <c r="A310" s="1683"/>
      <c r="B310" s="1683"/>
      <c r="C310" s="1683"/>
      <c r="D310" s="1683"/>
      <c r="E310" s="1683"/>
      <c r="F310" s="1683"/>
      <c r="G310" s="1683"/>
      <c r="H310" s="1683"/>
      <c r="I310" s="1683"/>
      <c r="J310" s="1683"/>
      <c r="K310" s="1683"/>
      <c r="L310" s="1683"/>
      <c r="M310" s="1683"/>
      <c r="N310" s="1683"/>
      <c r="O310" s="1683"/>
      <c r="P310" s="1683"/>
    </row>
    <row r="311" spans="1:16" x14ac:dyDescent="0.2">
      <c r="A311" s="1683"/>
      <c r="B311" s="1683"/>
      <c r="C311" s="1683"/>
      <c r="D311" s="1683"/>
      <c r="E311" s="1683"/>
      <c r="F311" s="1683"/>
      <c r="G311" s="1683"/>
      <c r="H311" s="1683"/>
      <c r="I311" s="1683"/>
      <c r="J311" s="1683"/>
      <c r="K311" s="1683"/>
      <c r="L311" s="1683"/>
      <c r="M311" s="1683"/>
      <c r="N311" s="1683"/>
      <c r="O311" s="1683"/>
      <c r="P311" s="1683"/>
    </row>
    <row r="312" spans="1:16" x14ac:dyDescent="0.2">
      <c r="A312" s="1683"/>
      <c r="B312" s="1683"/>
      <c r="C312" s="1683"/>
      <c r="D312" s="1683"/>
      <c r="E312" s="1683"/>
      <c r="F312" s="1683"/>
      <c r="G312" s="1683"/>
      <c r="H312" s="1683"/>
      <c r="I312" s="1683"/>
      <c r="J312" s="1683"/>
      <c r="K312" s="1683"/>
      <c r="L312" s="1683"/>
      <c r="M312" s="1683"/>
      <c r="N312" s="1683"/>
      <c r="O312" s="1683"/>
      <c r="P312" s="1683"/>
    </row>
    <row r="313" spans="1:16" x14ac:dyDescent="0.2">
      <c r="A313" s="1683"/>
      <c r="B313" s="1683"/>
      <c r="C313" s="1683"/>
      <c r="D313" s="1683"/>
      <c r="E313" s="1683"/>
      <c r="F313" s="1683"/>
      <c r="G313" s="1683"/>
      <c r="H313" s="1683"/>
      <c r="I313" s="1683"/>
      <c r="J313" s="1683"/>
      <c r="K313" s="1683"/>
      <c r="L313" s="1683"/>
      <c r="M313" s="1683"/>
      <c r="N313" s="1683"/>
      <c r="O313" s="1683"/>
      <c r="P313" s="1683"/>
    </row>
    <row r="314" spans="1:16" x14ac:dyDescent="0.2">
      <c r="A314" s="1683"/>
      <c r="B314" s="1683"/>
      <c r="C314" s="1683"/>
      <c r="D314" s="1683"/>
      <c r="E314" s="1683"/>
      <c r="F314" s="1683"/>
      <c r="G314" s="1683"/>
      <c r="H314" s="1683"/>
      <c r="I314" s="1683"/>
      <c r="J314" s="1683"/>
      <c r="K314" s="1683"/>
      <c r="L314" s="1683"/>
      <c r="M314" s="1683"/>
      <c r="N314" s="1683"/>
      <c r="O314" s="1683"/>
      <c r="P314" s="1683"/>
    </row>
    <row r="315" spans="1:16" x14ac:dyDescent="0.2">
      <c r="A315" s="1683"/>
      <c r="B315" s="1683"/>
      <c r="C315" s="1683"/>
      <c r="D315" s="1683"/>
      <c r="E315" s="1683"/>
      <c r="F315" s="1683"/>
      <c r="G315" s="1683"/>
      <c r="H315" s="1683"/>
      <c r="I315" s="1683"/>
      <c r="J315" s="1683"/>
      <c r="K315" s="1683"/>
      <c r="L315" s="1683"/>
      <c r="M315" s="1683"/>
      <c r="N315" s="1683"/>
      <c r="O315" s="1683"/>
      <c r="P315" s="1683"/>
    </row>
    <row r="316" spans="1:16" x14ac:dyDescent="0.2">
      <c r="A316" s="1683"/>
      <c r="B316" s="1683"/>
      <c r="C316" s="1683"/>
      <c r="D316" s="1683"/>
      <c r="E316" s="1683"/>
      <c r="F316" s="1683"/>
      <c r="G316" s="1683"/>
      <c r="H316" s="1683"/>
      <c r="I316" s="1683"/>
      <c r="J316" s="1683"/>
      <c r="K316" s="1683"/>
      <c r="L316" s="1683"/>
      <c r="M316" s="1683"/>
      <c r="N316" s="1683"/>
      <c r="O316" s="1683"/>
      <c r="P316" s="1683"/>
    </row>
    <row r="317" spans="1:16" x14ac:dyDescent="0.2">
      <c r="A317" s="1683"/>
      <c r="B317" s="1683"/>
      <c r="C317" s="1683"/>
      <c r="D317" s="1683"/>
      <c r="E317" s="1683"/>
      <c r="F317" s="1683"/>
      <c r="G317" s="1683"/>
      <c r="H317" s="1683"/>
      <c r="I317" s="1683"/>
      <c r="J317" s="1683"/>
      <c r="K317" s="1683"/>
      <c r="L317" s="1683"/>
      <c r="M317" s="1683"/>
      <c r="N317" s="1683"/>
      <c r="O317" s="1683"/>
      <c r="P317" s="1683"/>
    </row>
    <row r="318" spans="1:16" x14ac:dyDescent="0.2">
      <c r="A318" s="1683"/>
      <c r="B318" s="1683"/>
      <c r="C318" s="1683"/>
      <c r="D318" s="1683"/>
      <c r="E318" s="1683"/>
      <c r="F318" s="1683"/>
      <c r="G318" s="1683"/>
      <c r="H318" s="1683"/>
      <c r="I318" s="1683"/>
      <c r="J318" s="1683"/>
      <c r="K318" s="1683"/>
      <c r="L318" s="1683"/>
      <c r="M318" s="1683"/>
      <c r="N318" s="1683"/>
      <c r="O318" s="1683"/>
      <c r="P318" s="1683"/>
    </row>
    <row r="319" spans="1:16" x14ac:dyDescent="0.2">
      <c r="A319" s="1683"/>
      <c r="B319" s="1683"/>
      <c r="C319" s="1683"/>
      <c r="D319" s="1683"/>
      <c r="E319" s="1683"/>
      <c r="F319" s="1683"/>
      <c r="G319" s="1683"/>
      <c r="H319" s="1683"/>
      <c r="I319" s="1683"/>
      <c r="J319" s="1683"/>
      <c r="K319" s="1683"/>
      <c r="L319" s="1683"/>
      <c r="M319" s="1683"/>
      <c r="N319" s="1683"/>
      <c r="O319" s="1683"/>
      <c r="P319" s="1683"/>
    </row>
    <row r="320" spans="1:16" x14ac:dyDescent="0.2">
      <c r="A320" s="1683"/>
      <c r="B320" s="1683"/>
      <c r="C320" s="1683"/>
      <c r="D320" s="1683"/>
      <c r="E320" s="1683"/>
      <c r="F320" s="1683"/>
      <c r="G320" s="1683"/>
      <c r="H320" s="1683"/>
      <c r="I320" s="1683"/>
      <c r="J320" s="1683"/>
      <c r="K320" s="1683"/>
      <c r="L320" s="1683"/>
      <c r="M320" s="1683"/>
      <c r="N320" s="1683"/>
      <c r="O320" s="1683"/>
      <c r="P320" s="1683"/>
    </row>
    <row r="321" spans="1:16" x14ac:dyDescent="0.2">
      <c r="A321" s="1683"/>
      <c r="B321" s="1683"/>
      <c r="C321" s="1683"/>
      <c r="D321" s="1683"/>
      <c r="E321" s="1683"/>
      <c r="F321" s="1683"/>
      <c r="G321" s="1683"/>
      <c r="H321" s="1683"/>
      <c r="I321" s="1683"/>
      <c r="J321" s="1683"/>
      <c r="K321" s="1683"/>
      <c r="L321" s="1683"/>
      <c r="M321" s="1683"/>
      <c r="N321" s="1683"/>
      <c r="O321" s="1683"/>
      <c r="P321" s="1683"/>
    </row>
    <row r="322" spans="1:16" x14ac:dyDescent="0.2">
      <c r="A322" s="1683"/>
      <c r="B322" s="1683"/>
      <c r="C322" s="1683"/>
      <c r="D322" s="1683"/>
      <c r="E322" s="1683"/>
      <c r="F322" s="1683"/>
      <c r="G322" s="1683"/>
      <c r="H322" s="1683"/>
      <c r="I322" s="1683"/>
      <c r="J322" s="1683"/>
      <c r="K322" s="1683"/>
      <c r="L322" s="1683"/>
      <c r="M322" s="1683"/>
      <c r="N322" s="1683"/>
      <c r="O322" s="1683"/>
      <c r="P322" s="1683"/>
    </row>
    <row r="323" spans="1:16" x14ac:dyDescent="0.2">
      <c r="A323" s="1683"/>
      <c r="B323" s="1683"/>
      <c r="C323" s="1683"/>
      <c r="D323" s="1683"/>
      <c r="E323" s="1683"/>
      <c r="F323" s="1683"/>
      <c r="G323" s="1683"/>
      <c r="H323" s="1683"/>
      <c r="I323" s="1683"/>
      <c r="J323" s="1683"/>
      <c r="K323" s="1683"/>
      <c r="L323" s="1683"/>
      <c r="M323" s="1683"/>
      <c r="N323" s="1683"/>
      <c r="O323" s="1683"/>
      <c r="P323" s="1683"/>
    </row>
    <row r="324" spans="1:16" x14ac:dyDescent="0.2">
      <c r="A324" s="1683"/>
      <c r="B324" s="1683"/>
      <c r="C324" s="1683"/>
      <c r="D324" s="1683"/>
      <c r="E324" s="1683"/>
      <c r="F324" s="1683"/>
      <c r="G324" s="1683"/>
      <c r="H324" s="1683"/>
      <c r="I324" s="1683"/>
      <c r="J324" s="1683"/>
      <c r="K324" s="1683"/>
      <c r="L324" s="1683"/>
      <c r="M324" s="1683"/>
      <c r="N324" s="1683"/>
      <c r="O324" s="1683"/>
      <c r="P324" s="1683"/>
    </row>
    <row r="325" spans="1:16" x14ac:dyDescent="0.2">
      <c r="A325" s="1683"/>
      <c r="B325" s="1683"/>
      <c r="C325" s="1683"/>
      <c r="D325" s="1683"/>
      <c r="E325" s="1683"/>
      <c r="F325" s="1683"/>
      <c r="G325" s="1683"/>
      <c r="H325" s="1683"/>
      <c r="I325" s="1683"/>
      <c r="J325" s="1683"/>
      <c r="K325" s="1683"/>
      <c r="L325" s="1683"/>
      <c r="M325" s="1683"/>
      <c r="N325" s="1683"/>
      <c r="O325" s="1683"/>
      <c r="P325" s="1683"/>
    </row>
    <row r="326" spans="1:16" x14ac:dyDescent="0.2">
      <c r="A326" s="1683"/>
      <c r="B326" s="1683"/>
      <c r="C326" s="1683"/>
      <c r="D326" s="1683"/>
      <c r="E326" s="1683"/>
      <c r="F326" s="1683"/>
      <c r="G326" s="1683"/>
      <c r="H326" s="1683"/>
      <c r="I326" s="1683"/>
      <c r="J326" s="1683"/>
      <c r="K326" s="1683"/>
      <c r="L326" s="1683"/>
      <c r="M326" s="1683"/>
      <c r="N326" s="1683"/>
      <c r="O326" s="1683"/>
      <c r="P326" s="1683"/>
    </row>
    <row r="327" spans="1:16" x14ac:dyDescent="0.2">
      <c r="A327" s="1683"/>
      <c r="B327" s="1683"/>
      <c r="C327" s="1683"/>
      <c r="D327" s="1683"/>
      <c r="E327" s="1683"/>
      <c r="F327" s="1683"/>
      <c r="G327" s="1683"/>
      <c r="H327" s="1683"/>
      <c r="I327" s="1683"/>
      <c r="J327" s="1683"/>
      <c r="K327" s="1683"/>
      <c r="L327" s="1683"/>
      <c r="M327" s="1683"/>
      <c r="N327" s="1683"/>
      <c r="O327" s="1683"/>
      <c r="P327" s="1683"/>
    </row>
    <row r="328" spans="1:16" x14ac:dyDescent="0.2">
      <c r="A328" s="1683"/>
      <c r="B328" s="1683"/>
      <c r="C328" s="1683"/>
      <c r="D328" s="1683"/>
      <c r="E328" s="1683"/>
      <c r="F328" s="1683"/>
      <c r="G328" s="1683"/>
      <c r="H328" s="1683"/>
      <c r="I328" s="1683"/>
      <c r="J328" s="1683"/>
      <c r="K328" s="1683"/>
      <c r="L328" s="1683"/>
      <c r="M328" s="1683"/>
      <c r="N328" s="1683"/>
      <c r="O328" s="1683"/>
      <c r="P328" s="1683"/>
    </row>
    <row r="329" spans="1:16" x14ac:dyDescent="0.2">
      <c r="A329" s="1683"/>
      <c r="B329" s="1683"/>
      <c r="C329" s="1683"/>
      <c r="D329" s="1683"/>
      <c r="E329" s="1683"/>
      <c r="F329" s="1683"/>
      <c r="G329" s="1683"/>
      <c r="H329" s="1683"/>
      <c r="I329" s="1683"/>
      <c r="J329" s="1683"/>
      <c r="K329" s="1683"/>
      <c r="L329" s="1683"/>
      <c r="M329" s="1683"/>
      <c r="N329" s="1683"/>
      <c r="O329" s="1683"/>
      <c r="P329" s="1683"/>
    </row>
    <row r="330" spans="1:16" x14ac:dyDescent="0.2">
      <c r="A330" s="1683"/>
      <c r="B330" s="1683"/>
      <c r="C330" s="1683"/>
      <c r="D330" s="1683"/>
      <c r="E330" s="1683"/>
      <c r="F330" s="1683"/>
      <c r="G330" s="1683"/>
      <c r="H330" s="1683"/>
      <c r="I330" s="1683"/>
      <c r="J330" s="1683"/>
      <c r="K330" s="1683"/>
      <c r="L330" s="1683"/>
      <c r="M330" s="1683"/>
      <c r="N330" s="1683"/>
      <c r="O330" s="1683"/>
      <c r="P330" s="1683"/>
    </row>
    <row r="331" spans="1:16" x14ac:dyDescent="0.2">
      <c r="A331" s="1683"/>
      <c r="B331" s="1683"/>
      <c r="C331" s="1683"/>
      <c r="D331" s="1683"/>
      <c r="E331" s="1683"/>
      <c r="F331" s="1683"/>
      <c r="G331" s="1683"/>
      <c r="H331" s="1683"/>
      <c r="I331" s="1683"/>
      <c r="J331" s="1683"/>
      <c r="K331" s="1683"/>
      <c r="L331" s="1683"/>
      <c r="M331" s="1683"/>
      <c r="N331" s="1683"/>
      <c r="O331" s="1683"/>
      <c r="P331" s="1683"/>
    </row>
    <row r="332" spans="1:16" x14ac:dyDescent="0.2">
      <c r="A332" s="1683"/>
      <c r="B332" s="1683"/>
      <c r="C332" s="1683"/>
      <c r="D332" s="1683"/>
      <c r="E332" s="1683"/>
      <c r="F332" s="1683"/>
      <c r="G332" s="1683"/>
      <c r="H332" s="1683"/>
      <c r="I332" s="1683"/>
      <c r="J332" s="1683"/>
      <c r="K332" s="1683"/>
      <c r="L332" s="1683"/>
      <c r="M332" s="1683"/>
      <c r="N332" s="1683"/>
      <c r="O332" s="1683"/>
      <c r="P332" s="1683"/>
    </row>
    <row r="333" spans="1:16" x14ac:dyDescent="0.2">
      <c r="A333" s="1683"/>
      <c r="B333" s="1683"/>
      <c r="C333" s="1683"/>
      <c r="D333" s="1683"/>
      <c r="E333" s="1683"/>
      <c r="F333" s="1683"/>
      <c r="G333" s="1683"/>
      <c r="H333" s="1683"/>
      <c r="I333" s="1683"/>
      <c r="J333" s="1683"/>
      <c r="K333" s="1683"/>
      <c r="L333" s="1683"/>
      <c r="M333" s="1683"/>
      <c r="N333" s="1683"/>
      <c r="O333" s="1683"/>
      <c r="P333" s="1683"/>
    </row>
    <row r="334" spans="1:16" x14ac:dyDescent="0.2">
      <c r="A334" s="1683"/>
      <c r="B334" s="1683"/>
      <c r="C334" s="1683"/>
      <c r="D334" s="1683"/>
      <c r="E334" s="1683"/>
      <c r="F334" s="1683"/>
      <c r="G334" s="1683"/>
      <c r="H334" s="1683"/>
      <c r="I334" s="1683"/>
      <c r="J334" s="1683"/>
      <c r="K334" s="1683"/>
      <c r="L334" s="1683"/>
      <c r="M334" s="1683"/>
      <c r="N334" s="1683"/>
      <c r="O334" s="1683"/>
      <c r="P334" s="1683"/>
    </row>
    <row r="335" spans="1:16" x14ac:dyDescent="0.2">
      <c r="A335" s="1683"/>
      <c r="B335" s="1683"/>
      <c r="C335" s="1683"/>
      <c r="D335" s="1683"/>
      <c r="E335" s="1683"/>
      <c r="F335" s="1683"/>
      <c r="G335" s="1683"/>
      <c r="H335" s="1683"/>
      <c r="I335" s="1683"/>
      <c r="J335" s="1683"/>
      <c r="K335" s="1683"/>
      <c r="L335" s="1683"/>
      <c r="M335" s="1683"/>
      <c r="N335" s="1683"/>
      <c r="O335" s="1683"/>
      <c r="P335" s="1683"/>
    </row>
    <row r="336" spans="1:16" x14ac:dyDescent="0.2">
      <c r="A336" s="1683"/>
      <c r="B336" s="1683"/>
      <c r="C336" s="1683"/>
      <c r="D336" s="1683"/>
      <c r="E336" s="1683"/>
      <c r="F336" s="1683"/>
      <c r="G336" s="1683"/>
      <c r="H336" s="1683"/>
      <c r="I336" s="1683"/>
      <c r="J336" s="1683"/>
      <c r="K336" s="1683"/>
      <c r="L336" s="1683"/>
      <c r="M336" s="1683"/>
      <c r="N336" s="1683"/>
      <c r="O336" s="1683"/>
      <c r="P336" s="1683"/>
    </row>
    <row r="337" spans="1:16" x14ac:dyDescent="0.2">
      <c r="A337" s="1683"/>
      <c r="B337" s="1683"/>
      <c r="C337" s="1683"/>
      <c r="D337" s="1683"/>
      <c r="E337" s="1683"/>
      <c r="F337" s="1683"/>
      <c r="G337" s="1683"/>
      <c r="H337" s="1683"/>
      <c r="I337" s="1683"/>
      <c r="J337" s="1683"/>
      <c r="K337" s="1683"/>
      <c r="L337" s="1683"/>
      <c r="M337" s="1683"/>
      <c r="N337" s="1683"/>
      <c r="O337" s="1683"/>
      <c r="P337" s="1683"/>
    </row>
    <row r="338" spans="1:16" x14ac:dyDescent="0.2">
      <c r="A338" s="1683"/>
      <c r="B338" s="1683"/>
      <c r="C338" s="1683"/>
      <c r="D338" s="1683"/>
      <c r="E338" s="1683"/>
      <c r="F338" s="1683"/>
      <c r="G338" s="1683"/>
      <c r="H338" s="1683"/>
      <c r="I338" s="1683"/>
      <c r="J338" s="1683"/>
      <c r="K338" s="1683"/>
      <c r="L338" s="1683"/>
      <c r="M338" s="1683"/>
      <c r="N338" s="1683"/>
      <c r="O338" s="1683"/>
      <c r="P338" s="1683"/>
    </row>
    <row r="339" spans="1:16" x14ac:dyDescent="0.2">
      <c r="A339" s="1683"/>
      <c r="B339" s="1683"/>
      <c r="C339" s="1683"/>
      <c r="D339" s="1683"/>
      <c r="E339" s="1683"/>
      <c r="F339" s="1683"/>
      <c r="G339" s="1683"/>
      <c r="H339" s="1683"/>
      <c r="I339" s="1683"/>
      <c r="J339" s="1683"/>
      <c r="K339" s="1683"/>
      <c r="L339" s="1683"/>
      <c r="M339" s="1683"/>
      <c r="N339" s="1683"/>
      <c r="O339" s="1683"/>
      <c r="P339" s="1683"/>
    </row>
    <row r="340" spans="1:16" x14ac:dyDescent="0.2">
      <c r="A340" s="1683"/>
      <c r="B340" s="1683"/>
      <c r="C340" s="1683"/>
      <c r="D340" s="1683"/>
      <c r="E340" s="1683"/>
      <c r="F340" s="1683"/>
      <c r="G340" s="1683"/>
      <c r="H340" s="1683"/>
      <c r="I340" s="1683"/>
      <c r="J340" s="1683"/>
      <c r="K340" s="1683"/>
      <c r="L340" s="1683"/>
      <c r="M340" s="1683"/>
      <c r="N340" s="1683"/>
      <c r="O340" s="1683"/>
      <c r="P340" s="1683"/>
    </row>
    <row r="341" spans="1:16" x14ac:dyDescent="0.2">
      <c r="A341" s="1683"/>
      <c r="B341" s="1683"/>
      <c r="C341" s="1683"/>
      <c r="D341" s="1683"/>
      <c r="E341" s="1683"/>
      <c r="F341" s="1683"/>
      <c r="G341" s="1683"/>
      <c r="H341" s="1683"/>
      <c r="I341" s="1683"/>
      <c r="J341" s="1683"/>
      <c r="K341" s="1683"/>
      <c r="L341" s="1683"/>
      <c r="M341" s="1683"/>
      <c r="N341" s="1683"/>
      <c r="O341" s="1683"/>
      <c r="P341" s="1683"/>
    </row>
    <row r="342" spans="1:16" x14ac:dyDescent="0.2">
      <c r="A342" s="1683"/>
      <c r="B342" s="1683"/>
      <c r="C342" s="1683"/>
      <c r="D342" s="1683"/>
      <c r="E342" s="1683"/>
      <c r="F342" s="1683"/>
      <c r="G342" s="1683"/>
      <c r="H342" s="1683"/>
      <c r="I342" s="1683"/>
      <c r="J342" s="1683"/>
      <c r="K342" s="1683"/>
      <c r="L342" s="1683"/>
      <c r="M342" s="1683"/>
      <c r="N342" s="1683"/>
      <c r="O342" s="1683"/>
      <c r="P342" s="1683"/>
    </row>
    <row r="343" spans="1:16" x14ac:dyDescent="0.2">
      <c r="A343" s="1683"/>
      <c r="B343" s="1683"/>
      <c r="C343" s="1683"/>
      <c r="D343" s="1683"/>
      <c r="E343" s="1683"/>
      <c r="F343" s="1683"/>
      <c r="G343" s="1683"/>
      <c r="H343" s="1683"/>
      <c r="I343" s="1683"/>
      <c r="J343" s="1683"/>
      <c r="K343" s="1683"/>
      <c r="L343" s="1683"/>
      <c r="M343" s="1683"/>
      <c r="N343" s="1683"/>
      <c r="O343" s="1683"/>
      <c r="P343" s="1683"/>
    </row>
    <row r="344" spans="1:16" x14ac:dyDescent="0.2">
      <c r="A344" s="1683"/>
      <c r="B344" s="1683"/>
      <c r="C344" s="1683"/>
      <c r="D344" s="1683"/>
      <c r="E344" s="1683"/>
      <c r="F344" s="1683"/>
      <c r="G344" s="1683"/>
      <c r="H344" s="1683"/>
      <c r="I344" s="1683"/>
      <c r="J344" s="1683"/>
      <c r="K344" s="1683"/>
      <c r="L344" s="1683"/>
      <c r="M344" s="1683"/>
      <c r="N344" s="1683"/>
      <c r="O344" s="1683"/>
      <c r="P344" s="1683"/>
    </row>
    <row r="345" spans="1:16" x14ac:dyDescent="0.2">
      <c r="A345" s="1683"/>
      <c r="B345" s="1683"/>
      <c r="C345" s="1683"/>
      <c r="D345" s="1683"/>
      <c r="E345" s="1683"/>
      <c r="F345" s="1683"/>
      <c r="G345" s="1683"/>
      <c r="H345" s="1683"/>
      <c r="I345" s="1683"/>
      <c r="J345" s="1683"/>
      <c r="K345" s="1683"/>
      <c r="L345" s="1683"/>
      <c r="M345" s="1683"/>
      <c r="N345" s="1683"/>
      <c r="O345" s="1683"/>
      <c r="P345" s="1683"/>
    </row>
    <row r="346" spans="1:16" x14ac:dyDescent="0.2">
      <c r="A346" s="1683"/>
      <c r="B346" s="1683"/>
      <c r="C346" s="1683"/>
      <c r="D346" s="1683"/>
      <c r="E346" s="1683"/>
      <c r="F346" s="1683"/>
      <c r="G346" s="1683"/>
      <c r="H346" s="1683"/>
      <c r="I346" s="1683"/>
      <c r="J346" s="1683"/>
      <c r="K346" s="1683"/>
      <c r="L346" s="1683"/>
      <c r="M346" s="1683"/>
      <c r="N346" s="1683"/>
      <c r="O346" s="1683"/>
      <c r="P346" s="1683"/>
    </row>
    <row r="347" spans="1:16" x14ac:dyDescent="0.2">
      <c r="A347" s="1683"/>
      <c r="B347" s="1683"/>
      <c r="C347" s="1683"/>
      <c r="D347" s="1683"/>
      <c r="E347" s="1683"/>
      <c r="F347" s="1683"/>
      <c r="G347" s="1683"/>
      <c r="H347" s="1683"/>
      <c r="I347" s="1683"/>
      <c r="J347" s="1683"/>
      <c r="K347" s="1683"/>
      <c r="L347" s="1683"/>
      <c r="M347" s="1683"/>
      <c r="N347" s="1683"/>
      <c r="O347" s="1683"/>
      <c r="P347" s="1683"/>
    </row>
    <row r="348" spans="1:16" x14ac:dyDescent="0.2">
      <c r="A348" s="1683"/>
      <c r="B348" s="1683"/>
      <c r="C348" s="1683"/>
      <c r="D348" s="1683"/>
      <c r="E348" s="1683"/>
      <c r="F348" s="1683"/>
      <c r="G348" s="1683"/>
      <c r="H348" s="1683"/>
      <c r="I348" s="1683"/>
      <c r="J348" s="1683"/>
      <c r="K348" s="1683"/>
      <c r="L348" s="1683"/>
      <c r="M348" s="1683"/>
      <c r="N348" s="1683"/>
      <c r="O348" s="1683"/>
      <c r="P348" s="1683"/>
    </row>
    <row r="349" spans="1:16" x14ac:dyDescent="0.2">
      <c r="A349" s="1683"/>
      <c r="B349" s="1683"/>
      <c r="C349" s="1683"/>
      <c r="D349" s="1683"/>
      <c r="E349" s="1683"/>
      <c r="F349" s="1683"/>
      <c r="G349" s="1683"/>
      <c r="H349" s="1683"/>
      <c r="I349" s="1683"/>
      <c r="J349" s="1683"/>
      <c r="K349" s="1683"/>
      <c r="L349" s="1683"/>
      <c r="M349" s="1683"/>
      <c r="N349" s="1683"/>
      <c r="O349" s="1683"/>
      <c r="P349" s="1683"/>
    </row>
    <row r="350" spans="1:16" x14ac:dyDescent="0.2">
      <c r="A350" s="1683"/>
      <c r="B350" s="1683"/>
      <c r="C350" s="1683"/>
      <c r="D350" s="1683"/>
      <c r="E350" s="1683"/>
      <c r="F350" s="1683"/>
      <c r="G350" s="1683"/>
      <c r="H350" s="1683"/>
      <c r="I350" s="1683"/>
      <c r="J350" s="1683"/>
      <c r="K350" s="1683"/>
      <c r="L350" s="1683"/>
      <c r="M350" s="1683"/>
      <c r="N350" s="1683"/>
      <c r="O350" s="1683"/>
      <c r="P350" s="1683"/>
    </row>
    <row r="351" spans="1:16" x14ac:dyDescent="0.2">
      <c r="A351" s="1683"/>
      <c r="B351" s="1683"/>
      <c r="C351" s="1683"/>
      <c r="D351" s="1683"/>
      <c r="E351" s="1683"/>
      <c r="F351" s="1683"/>
      <c r="G351" s="1683"/>
      <c r="H351" s="1683"/>
      <c r="I351" s="1683"/>
      <c r="J351" s="1683"/>
      <c r="K351" s="1683"/>
      <c r="L351" s="1683"/>
      <c r="M351" s="1683"/>
      <c r="N351" s="1683"/>
      <c r="O351" s="1683"/>
      <c r="P351" s="1683"/>
    </row>
    <row r="352" spans="1:16" x14ac:dyDescent="0.2">
      <c r="A352" s="1683"/>
      <c r="B352" s="1683"/>
      <c r="C352" s="1683"/>
      <c r="D352" s="1683"/>
      <c r="E352" s="1683"/>
      <c r="F352" s="1683"/>
      <c r="G352" s="1683"/>
      <c r="H352" s="1683"/>
      <c r="I352" s="1683"/>
      <c r="J352" s="1683"/>
      <c r="K352" s="1683"/>
      <c r="L352" s="1683"/>
      <c r="M352" s="1683"/>
      <c r="N352" s="1683"/>
      <c r="O352" s="1683"/>
      <c r="P352" s="1683"/>
    </row>
    <row r="353" spans="1:16" x14ac:dyDescent="0.2">
      <c r="A353" s="1683"/>
      <c r="B353" s="1683"/>
      <c r="C353" s="1683"/>
      <c r="D353" s="1683"/>
      <c r="E353" s="1683"/>
      <c r="F353" s="1683"/>
      <c r="G353" s="1683"/>
      <c r="H353" s="1683"/>
      <c r="I353" s="1683"/>
      <c r="J353" s="1683"/>
      <c r="K353" s="1683"/>
      <c r="L353" s="1683"/>
      <c r="M353" s="1683"/>
      <c r="N353" s="1683"/>
      <c r="O353" s="1683"/>
      <c r="P353" s="1683"/>
    </row>
    <row r="354" spans="1:16" x14ac:dyDescent="0.2">
      <c r="A354" s="1683"/>
      <c r="B354" s="1683"/>
      <c r="C354" s="1683"/>
      <c r="D354" s="1683"/>
      <c r="E354" s="1683"/>
      <c r="F354" s="1683"/>
      <c r="G354" s="1683"/>
      <c r="H354" s="1683"/>
      <c r="I354" s="1683"/>
      <c r="J354" s="1683"/>
      <c r="K354" s="1683"/>
      <c r="L354" s="1683"/>
      <c r="M354" s="1683"/>
      <c r="N354" s="1683"/>
      <c r="O354" s="1683"/>
      <c r="P354" s="1683"/>
    </row>
    <row r="355" spans="1:16" x14ac:dyDescent="0.2">
      <c r="A355" s="1683"/>
      <c r="B355" s="1683"/>
      <c r="C355" s="1683"/>
      <c r="D355" s="1683"/>
      <c r="E355" s="1683"/>
      <c r="F355" s="1683"/>
      <c r="G355" s="1683"/>
      <c r="H355" s="1683"/>
      <c r="I355" s="1683"/>
      <c r="J355" s="1683"/>
      <c r="K355" s="1683"/>
      <c r="L355" s="1683"/>
      <c r="M355" s="1683"/>
      <c r="N355" s="1683"/>
      <c r="O355" s="1683"/>
      <c r="P355" s="1683"/>
    </row>
    <row r="356" spans="1:16" x14ac:dyDescent="0.2">
      <c r="A356" s="1683"/>
      <c r="B356" s="1683"/>
      <c r="C356" s="1683"/>
      <c r="D356" s="1683"/>
      <c r="E356" s="1683"/>
      <c r="F356" s="1683"/>
      <c r="G356" s="1683"/>
      <c r="H356" s="1683"/>
      <c r="I356" s="1683"/>
      <c r="J356" s="1683"/>
      <c r="K356" s="1683"/>
      <c r="L356" s="1683"/>
      <c r="M356" s="1683"/>
      <c r="N356" s="1683"/>
      <c r="O356" s="1683"/>
      <c r="P356" s="1683"/>
    </row>
    <row r="357" spans="1:16" x14ac:dyDescent="0.2">
      <c r="A357" s="1683"/>
      <c r="B357" s="1683"/>
      <c r="C357" s="1683"/>
      <c r="D357" s="1683"/>
      <c r="E357" s="1683"/>
      <c r="F357" s="1683"/>
      <c r="G357" s="1683"/>
      <c r="H357" s="1683"/>
      <c r="I357" s="1683"/>
      <c r="J357" s="1683"/>
      <c r="K357" s="1683"/>
      <c r="L357" s="1683"/>
      <c r="M357" s="1683"/>
      <c r="N357" s="1683"/>
      <c r="O357" s="1683"/>
      <c r="P357" s="1683"/>
    </row>
    <row r="358" spans="1:16" x14ac:dyDescent="0.2">
      <c r="A358" s="1683"/>
      <c r="B358" s="1683"/>
      <c r="C358" s="1683"/>
      <c r="D358" s="1683"/>
      <c r="E358" s="1683"/>
      <c r="F358" s="1683"/>
      <c r="G358" s="1683"/>
      <c r="H358" s="1683"/>
      <c r="I358" s="1683"/>
      <c r="J358" s="1683"/>
      <c r="K358" s="1683"/>
      <c r="L358" s="1683"/>
      <c r="M358" s="1683"/>
      <c r="N358" s="1683"/>
      <c r="O358" s="1683"/>
      <c r="P358" s="1683"/>
    </row>
    <row r="359" spans="1:16" x14ac:dyDescent="0.2">
      <c r="A359" s="1683"/>
      <c r="B359" s="1683"/>
      <c r="C359" s="1683"/>
      <c r="D359" s="1683"/>
      <c r="E359" s="1683"/>
      <c r="F359" s="1683"/>
      <c r="G359" s="1683"/>
      <c r="H359" s="1683"/>
      <c r="I359" s="1683"/>
      <c r="J359" s="1683"/>
      <c r="K359" s="1683"/>
      <c r="L359" s="1683"/>
      <c r="M359" s="1683"/>
      <c r="N359" s="1683"/>
      <c r="O359" s="1683"/>
      <c r="P359" s="1683"/>
    </row>
    <row r="360" spans="1:16" x14ac:dyDescent="0.2">
      <c r="A360" s="1683"/>
      <c r="B360" s="1683"/>
      <c r="C360" s="1683"/>
      <c r="D360" s="1683"/>
      <c r="E360" s="1683"/>
      <c r="F360" s="1683"/>
      <c r="G360" s="1683"/>
      <c r="H360" s="1683"/>
      <c r="I360" s="1683"/>
      <c r="J360" s="1683"/>
      <c r="K360" s="1683"/>
      <c r="L360" s="1683"/>
      <c r="M360" s="1683"/>
      <c r="N360" s="1683"/>
      <c r="O360" s="1683"/>
      <c r="P360" s="1683"/>
    </row>
    <row r="361" spans="1:16" x14ac:dyDescent="0.2">
      <c r="A361" s="1683"/>
      <c r="B361" s="1683"/>
      <c r="C361" s="1683"/>
      <c r="D361" s="1683"/>
      <c r="E361" s="1683"/>
      <c r="F361" s="1683"/>
      <c r="G361" s="1683"/>
      <c r="H361" s="1683"/>
      <c r="I361" s="1683"/>
      <c r="J361" s="1683"/>
      <c r="K361" s="1683"/>
      <c r="L361" s="1683"/>
      <c r="M361" s="1683"/>
      <c r="N361" s="1683"/>
      <c r="O361" s="1683"/>
      <c r="P361" s="1683"/>
    </row>
    <row r="362" spans="1:16" x14ac:dyDescent="0.2">
      <c r="A362" s="1683"/>
      <c r="B362" s="1683"/>
      <c r="C362" s="1683"/>
      <c r="D362" s="1683"/>
      <c r="E362" s="1683"/>
      <c r="F362" s="1683"/>
      <c r="G362" s="1683"/>
      <c r="H362" s="1683"/>
      <c r="I362" s="1683"/>
      <c r="J362" s="1683"/>
      <c r="K362" s="1683"/>
      <c r="L362" s="1683"/>
      <c r="M362" s="1683"/>
      <c r="N362" s="1683"/>
      <c r="O362" s="1683"/>
      <c r="P362" s="1683"/>
    </row>
    <row r="363" spans="1:16" x14ac:dyDescent="0.2">
      <c r="A363" s="1683"/>
      <c r="B363" s="1683"/>
      <c r="C363" s="1683"/>
      <c r="D363" s="1683"/>
      <c r="E363" s="1683"/>
      <c r="F363" s="1683"/>
      <c r="G363" s="1683"/>
      <c r="H363" s="1683"/>
      <c r="I363" s="1683"/>
      <c r="J363" s="1683"/>
      <c r="K363" s="1683"/>
      <c r="L363" s="1683"/>
      <c r="M363" s="1683"/>
      <c r="N363" s="1683"/>
      <c r="O363" s="1683"/>
      <c r="P363" s="1683"/>
    </row>
    <row r="364" spans="1:16" x14ac:dyDescent="0.2">
      <c r="A364" s="1683"/>
      <c r="B364" s="1683"/>
      <c r="C364" s="1683"/>
      <c r="D364" s="1683"/>
      <c r="E364" s="1683"/>
      <c r="F364" s="1683"/>
      <c r="G364" s="1683"/>
      <c r="H364" s="1683"/>
      <c r="I364" s="1683"/>
      <c r="J364" s="1683"/>
      <c r="K364" s="1683"/>
      <c r="L364" s="1683"/>
      <c r="M364" s="1683"/>
      <c r="N364" s="1683"/>
      <c r="O364" s="1683"/>
      <c r="P364" s="1683"/>
    </row>
    <row r="365" spans="1:16" x14ac:dyDescent="0.2">
      <c r="A365" s="1683"/>
      <c r="B365" s="1683"/>
      <c r="C365" s="1683"/>
      <c r="D365" s="1683"/>
      <c r="E365" s="1683"/>
      <c r="F365" s="1683"/>
      <c r="G365" s="1683"/>
      <c r="H365" s="1683"/>
      <c r="I365" s="1683"/>
      <c r="J365" s="1683"/>
      <c r="K365" s="1683"/>
      <c r="L365" s="1683"/>
      <c r="M365" s="1683"/>
      <c r="N365" s="1683"/>
      <c r="O365" s="1683"/>
      <c r="P365" s="1683"/>
    </row>
    <row r="366" spans="1:16" x14ac:dyDescent="0.2">
      <c r="A366" s="1683"/>
      <c r="B366" s="1683"/>
      <c r="C366" s="1683"/>
      <c r="D366" s="1683"/>
      <c r="E366" s="1683"/>
      <c r="F366" s="1683"/>
      <c r="G366" s="1683"/>
      <c r="H366" s="1683"/>
      <c r="I366" s="1683"/>
      <c r="J366" s="1683"/>
      <c r="K366" s="1683"/>
      <c r="L366" s="1683"/>
      <c r="M366" s="1683"/>
      <c r="N366" s="1683"/>
      <c r="O366" s="1683"/>
      <c r="P366" s="1683"/>
    </row>
    <row r="367" spans="1:16" x14ac:dyDescent="0.2">
      <c r="A367" s="1683"/>
      <c r="B367" s="1683"/>
      <c r="C367" s="1683"/>
      <c r="D367" s="1683"/>
      <c r="E367" s="1683"/>
      <c r="F367" s="1683"/>
      <c r="G367" s="1683"/>
      <c r="H367" s="1683"/>
      <c r="I367" s="1683"/>
      <c r="J367" s="1683"/>
      <c r="K367" s="1683"/>
      <c r="L367" s="1683"/>
      <c r="M367" s="1683"/>
      <c r="N367" s="1683"/>
      <c r="O367" s="1683"/>
      <c r="P367" s="1683"/>
    </row>
    <row r="368" spans="1:16" x14ac:dyDescent="0.2">
      <c r="A368" s="1683"/>
      <c r="B368" s="1683"/>
      <c r="C368" s="1683"/>
      <c r="D368" s="1683"/>
      <c r="E368" s="1683"/>
      <c r="F368" s="1683"/>
      <c r="G368" s="1683"/>
      <c r="H368" s="1683"/>
      <c r="I368" s="1683"/>
      <c r="J368" s="1683"/>
      <c r="K368" s="1683"/>
      <c r="L368" s="1683"/>
      <c r="M368" s="1683"/>
      <c r="N368" s="1683"/>
      <c r="O368" s="1683"/>
      <c r="P368" s="1683"/>
    </row>
    <row r="369" spans="1:16" x14ac:dyDescent="0.2">
      <c r="A369" s="1683"/>
      <c r="B369" s="1683"/>
      <c r="C369" s="1683"/>
      <c r="D369" s="1683"/>
      <c r="E369" s="1683"/>
      <c r="F369" s="1683"/>
      <c r="G369" s="1683"/>
      <c r="H369" s="1683"/>
      <c r="I369" s="1683"/>
      <c r="J369" s="1683"/>
      <c r="K369" s="1683"/>
      <c r="L369" s="1683"/>
      <c r="M369" s="1683"/>
      <c r="N369" s="1683"/>
      <c r="O369" s="1683"/>
      <c r="P369" s="1683"/>
    </row>
    <row r="370" spans="1:16" x14ac:dyDescent="0.2">
      <c r="A370" s="1683"/>
      <c r="B370" s="1683"/>
      <c r="C370" s="1683"/>
      <c r="D370" s="1683"/>
      <c r="E370" s="1683"/>
      <c r="F370" s="1683"/>
      <c r="G370" s="1683"/>
      <c r="H370" s="1683"/>
      <c r="I370" s="1683"/>
      <c r="J370" s="1683"/>
      <c r="K370" s="1683"/>
      <c r="L370" s="1683"/>
      <c r="M370" s="1683"/>
      <c r="N370" s="1683"/>
      <c r="O370" s="1683"/>
      <c r="P370" s="1683"/>
    </row>
    <row r="371" spans="1:16" x14ac:dyDescent="0.2">
      <c r="A371" s="1683"/>
      <c r="B371" s="1683"/>
      <c r="C371" s="1683"/>
      <c r="D371" s="1683"/>
      <c r="E371" s="1683"/>
      <c r="F371" s="1683"/>
      <c r="G371" s="1683"/>
      <c r="H371" s="1683"/>
      <c r="I371" s="1683"/>
      <c r="J371" s="1683"/>
      <c r="K371" s="1683"/>
      <c r="L371" s="1683"/>
      <c r="M371" s="1683"/>
      <c r="N371" s="1683"/>
      <c r="O371" s="1683"/>
      <c r="P371" s="1683"/>
    </row>
    <row r="372" spans="1:16" x14ac:dyDescent="0.2">
      <c r="A372" s="1683"/>
      <c r="B372" s="1683"/>
      <c r="C372" s="1683"/>
      <c r="D372" s="1683"/>
      <c r="E372" s="1683"/>
      <c r="F372" s="1683"/>
      <c r="G372" s="1683"/>
      <c r="H372" s="1683"/>
      <c r="I372" s="1683"/>
      <c r="J372" s="1683"/>
      <c r="K372" s="1683"/>
      <c r="L372" s="1683"/>
      <c r="M372" s="1683"/>
      <c r="N372" s="1683"/>
      <c r="O372" s="1683"/>
      <c r="P372" s="1683"/>
    </row>
    <row r="373" spans="1:16" x14ac:dyDescent="0.2">
      <c r="A373" s="1683"/>
      <c r="B373" s="1683"/>
      <c r="C373" s="1683"/>
      <c r="D373" s="1683"/>
      <c r="E373" s="1683"/>
      <c r="F373" s="1683"/>
      <c r="G373" s="1683"/>
      <c r="H373" s="1683"/>
      <c r="I373" s="1683"/>
      <c r="J373" s="1683"/>
      <c r="K373" s="1683"/>
      <c r="L373" s="1683"/>
      <c r="M373" s="1683"/>
      <c r="N373" s="1683"/>
      <c r="O373" s="1683"/>
      <c r="P373" s="1683"/>
    </row>
    <row r="374" spans="1:16" x14ac:dyDescent="0.2">
      <c r="A374" s="1683"/>
      <c r="B374" s="1683"/>
      <c r="C374" s="1683"/>
      <c r="D374" s="1683"/>
      <c r="E374" s="1683"/>
      <c r="F374" s="1683"/>
      <c r="G374" s="1683"/>
      <c r="H374" s="1683"/>
      <c r="I374" s="1683"/>
      <c r="J374" s="1683"/>
      <c r="K374" s="1683"/>
      <c r="L374" s="1683"/>
      <c r="M374" s="1683"/>
      <c r="N374" s="1683"/>
      <c r="O374" s="1683"/>
      <c r="P374" s="1683"/>
    </row>
    <row r="375" spans="1:16" x14ac:dyDescent="0.2">
      <c r="A375" s="1683"/>
      <c r="B375" s="1683"/>
      <c r="C375" s="1683"/>
      <c r="D375" s="1683"/>
      <c r="E375" s="1683"/>
      <c r="F375" s="1683"/>
      <c r="G375" s="1683"/>
      <c r="H375" s="1683"/>
      <c r="I375" s="1683"/>
      <c r="J375" s="1683"/>
      <c r="K375" s="1683"/>
      <c r="L375" s="1683"/>
      <c r="M375" s="1683"/>
      <c r="N375" s="1683"/>
      <c r="O375" s="1683"/>
      <c r="P375" s="1683"/>
    </row>
    <row r="376" spans="1:16" x14ac:dyDescent="0.2">
      <c r="A376" s="1683"/>
      <c r="B376" s="1683"/>
      <c r="C376" s="1683"/>
      <c r="D376" s="1683"/>
      <c r="E376" s="1683"/>
      <c r="F376" s="1683"/>
      <c r="G376" s="1683"/>
      <c r="H376" s="1683"/>
      <c r="I376" s="1683"/>
      <c r="J376" s="1683"/>
      <c r="K376" s="1683"/>
      <c r="L376" s="1683"/>
      <c r="M376" s="1683"/>
      <c r="N376" s="1683"/>
      <c r="O376" s="1683"/>
      <c r="P376" s="1683"/>
    </row>
    <row r="377" spans="1:16" x14ac:dyDescent="0.2">
      <c r="A377" s="1683"/>
      <c r="B377" s="1683"/>
      <c r="C377" s="1683"/>
      <c r="D377" s="1683"/>
      <c r="E377" s="1683"/>
      <c r="F377" s="1683"/>
      <c r="G377" s="1683"/>
      <c r="H377" s="1683"/>
      <c r="I377" s="1683"/>
      <c r="J377" s="1683"/>
      <c r="K377" s="1683"/>
      <c r="L377" s="1683"/>
      <c r="M377" s="1683"/>
      <c r="N377" s="1683"/>
      <c r="O377" s="1683"/>
      <c r="P377" s="1683"/>
    </row>
    <row r="378" spans="1:16" x14ac:dyDescent="0.2">
      <c r="A378" s="1683"/>
      <c r="B378" s="1683"/>
      <c r="C378" s="1683"/>
      <c r="D378" s="1683"/>
      <c r="E378" s="1683"/>
      <c r="F378" s="1683"/>
      <c r="G378" s="1683"/>
      <c r="H378" s="1683"/>
      <c r="I378" s="1683"/>
      <c r="J378" s="1683"/>
      <c r="K378" s="1683"/>
      <c r="L378" s="1683"/>
      <c r="M378" s="1683"/>
      <c r="N378" s="1683"/>
      <c r="O378" s="1683"/>
      <c r="P378" s="1683"/>
    </row>
    <row r="379" spans="1:16" x14ac:dyDescent="0.2">
      <c r="A379" s="1683"/>
      <c r="B379" s="1683"/>
      <c r="C379" s="1683"/>
      <c r="D379" s="1683"/>
      <c r="E379" s="1683"/>
      <c r="F379" s="1683"/>
      <c r="G379" s="1683"/>
      <c r="H379" s="1683"/>
      <c r="I379" s="1683"/>
      <c r="J379" s="1683"/>
      <c r="K379" s="1683"/>
      <c r="L379" s="1683"/>
      <c r="M379" s="1683"/>
      <c r="N379" s="1683"/>
      <c r="O379" s="1683"/>
      <c r="P379" s="1683"/>
    </row>
    <row r="380" spans="1:16" x14ac:dyDescent="0.2">
      <c r="A380" s="1683"/>
      <c r="B380" s="1683"/>
      <c r="C380" s="1683"/>
      <c r="D380" s="1683"/>
      <c r="E380" s="1683"/>
      <c r="F380" s="1683"/>
      <c r="G380" s="1683"/>
      <c r="H380" s="1683"/>
      <c r="I380" s="1683"/>
      <c r="J380" s="1683"/>
      <c r="K380" s="1683"/>
      <c r="L380" s="1683"/>
      <c r="M380" s="1683"/>
      <c r="N380" s="1683"/>
      <c r="O380" s="1683"/>
      <c r="P380" s="1683"/>
    </row>
    <row r="381" spans="1:16" x14ac:dyDescent="0.2">
      <c r="A381" s="1683"/>
      <c r="B381" s="1683"/>
      <c r="C381" s="1683"/>
      <c r="D381" s="1683"/>
      <c r="E381" s="1683"/>
      <c r="F381" s="1683"/>
      <c r="G381" s="1683"/>
      <c r="H381" s="1683"/>
      <c r="I381" s="1683"/>
      <c r="J381" s="1683"/>
      <c r="K381" s="1683"/>
      <c r="L381" s="1683"/>
      <c r="M381" s="1683"/>
      <c r="N381" s="1683"/>
      <c r="O381" s="1683"/>
      <c r="P381" s="1683"/>
    </row>
    <row r="382" spans="1:16" x14ac:dyDescent="0.2">
      <c r="A382" s="1683"/>
      <c r="B382" s="1683"/>
      <c r="C382" s="1683"/>
      <c r="D382" s="1683"/>
      <c r="E382" s="1683"/>
      <c r="F382" s="1683"/>
      <c r="G382" s="1683"/>
      <c r="H382" s="1683"/>
      <c r="I382" s="1683"/>
      <c r="J382" s="1683"/>
      <c r="K382" s="1683"/>
      <c r="L382" s="1683"/>
      <c r="M382" s="1683"/>
      <c r="N382" s="1683"/>
      <c r="O382" s="1683"/>
      <c r="P382" s="1683"/>
    </row>
    <row r="383" spans="1:16" x14ac:dyDescent="0.2">
      <c r="A383" s="1683"/>
      <c r="B383" s="1683"/>
      <c r="C383" s="1683"/>
      <c r="D383" s="1683"/>
      <c r="E383" s="1683"/>
      <c r="F383" s="1683"/>
      <c r="G383" s="1683"/>
      <c r="H383" s="1683"/>
      <c r="I383" s="1683"/>
      <c r="J383" s="1683"/>
      <c r="K383" s="1683"/>
      <c r="L383" s="1683"/>
      <c r="M383" s="1683"/>
      <c r="N383" s="1683"/>
      <c r="O383" s="1683"/>
      <c r="P383" s="1683"/>
    </row>
    <row r="384" spans="1:16" x14ac:dyDescent="0.2">
      <c r="A384" s="1683"/>
      <c r="B384" s="1683"/>
      <c r="C384" s="1683"/>
      <c r="D384" s="1683"/>
      <c r="E384" s="1683"/>
      <c r="F384" s="1683"/>
      <c r="G384" s="1683"/>
      <c r="H384" s="1683"/>
      <c r="I384" s="1683"/>
      <c r="J384" s="1683"/>
      <c r="K384" s="1683"/>
      <c r="L384" s="1683"/>
      <c r="M384" s="1683"/>
      <c r="N384" s="1683"/>
      <c r="O384" s="1683"/>
      <c r="P384" s="1683"/>
    </row>
    <row r="385" spans="1:16" x14ac:dyDescent="0.2">
      <c r="A385" s="1683"/>
      <c r="B385" s="1683"/>
      <c r="C385" s="1683"/>
      <c r="D385" s="1683"/>
      <c r="E385" s="1683"/>
      <c r="F385" s="1683"/>
      <c r="G385" s="1683"/>
      <c r="H385" s="1683"/>
      <c r="I385" s="1683"/>
      <c r="J385" s="1683"/>
      <c r="K385" s="1683"/>
      <c r="L385" s="1683"/>
      <c r="M385" s="1683"/>
      <c r="N385" s="1683"/>
      <c r="O385" s="1683"/>
      <c r="P385" s="1683"/>
    </row>
    <row r="386" spans="1:16" x14ac:dyDescent="0.2">
      <c r="A386" s="1683"/>
      <c r="B386" s="1683"/>
      <c r="C386" s="1683"/>
      <c r="D386" s="1683"/>
      <c r="E386" s="1683"/>
      <c r="F386" s="1683"/>
      <c r="G386" s="1683"/>
      <c r="H386" s="1683"/>
      <c r="I386" s="1683"/>
      <c r="J386" s="1683"/>
      <c r="K386" s="1683"/>
      <c r="L386" s="1683"/>
      <c r="M386" s="1683"/>
      <c r="N386" s="1683"/>
      <c r="O386" s="1683"/>
      <c r="P386" s="1683"/>
    </row>
    <row r="387" spans="1:16" x14ac:dyDescent="0.2">
      <c r="A387" s="1683"/>
      <c r="B387" s="1683"/>
      <c r="C387" s="1683"/>
      <c r="D387" s="1683"/>
      <c r="E387" s="1683"/>
      <c r="F387" s="1683"/>
      <c r="G387" s="1683"/>
      <c r="H387" s="1683"/>
      <c r="I387" s="1683"/>
      <c r="J387" s="1683"/>
      <c r="K387" s="1683"/>
      <c r="L387" s="1683"/>
      <c r="M387" s="1683"/>
      <c r="N387" s="1683"/>
      <c r="O387" s="1683"/>
      <c r="P387" s="1683"/>
    </row>
    <row r="388" spans="1:16" x14ac:dyDescent="0.2">
      <c r="A388" s="1683"/>
      <c r="B388" s="1683"/>
      <c r="C388" s="1683"/>
      <c r="D388" s="1683"/>
      <c r="E388" s="1683"/>
      <c r="F388" s="1683"/>
      <c r="G388" s="1683"/>
      <c r="H388" s="1683"/>
      <c r="I388" s="1683"/>
      <c r="J388" s="1683"/>
      <c r="K388" s="1683"/>
      <c r="L388" s="1683"/>
      <c r="M388" s="1683"/>
      <c r="N388" s="1683"/>
      <c r="O388" s="1683"/>
      <c r="P388" s="1683"/>
    </row>
    <row r="389" spans="1:16" x14ac:dyDescent="0.2">
      <c r="A389" s="1683"/>
      <c r="B389" s="1683"/>
      <c r="C389" s="1683"/>
      <c r="D389" s="1683"/>
      <c r="E389" s="1683"/>
      <c r="F389" s="1683"/>
      <c r="G389" s="1683"/>
      <c r="H389" s="1683"/>
      <c r="I389" s="1683"/>
      <c r="J389" s="1683"/>
      <c r="K389" s="1683"/>
      <c r="L389" s="1683"/>
      <c r="M389" s="1683"/>
      <c r="N389" s="1683"/>
      <c r="O389" s="1683"/>
      <c r="P389" s="1683"/>
    </row>
    <row r="390" spans="1:16" x14ac:dyDescent="0.2">
      <c r="A390" s="1683"/>
      <c r="B390" s="1683"/>
      <c r="C390" s="1683"/>
      <c r="D390" s="1683"/>
      <c r="E390" s="1683"/>
      <c r="F390" s="1683"/>
      <c r="G390" s="1683"/>
      <c r="H390" s="1683"/>
      <c r="I390" s="1683"/>
      <c r="J390" s="1683"/>
      <c r="K390" s="1683"/>
      <c r="L390" s="1683"/>
      <c r="M390" s="1683"/>
      <c r="N390" s="1683"/>
      <c r="O390" s="1683"/>
      <c r="P390" s="1683"/>
    </row>
    <row r="391" spans="1:16" x14ac:dyDescent="0.2">
      <c r="A391" s="1683"/>
      <c r="B391" s="1683"/>
      <c r="C391" s="1683"/>
      <c r="D391" s="1683"/>
      <c r="E391" s="1683"/>
      <c r="F391" s="1683"/>
      <c r="G391" s="1683"/>
      <c r="H391" s="1683"/>
      <c r="I391" s="1683"/>
      <c r="J391" s="1683"/>
      <c r="K391" s="1683"/>
      <c r="L391" s="1683"/>
      <c r="M391" s="1683"/>
      <c r="N391" s="1683"/>
      <c r="O391" s="1683"/>
      <c r="P391" s="1683"/>
    </row>
    <row r="392" spans="1:16" x14ac:dyDescent="0.2">
      <c r="A392" s="1683"/>
      <c r="B392" s="1683"/>
      <c r="C392" s="1683"/>
      <c r="D392" s="1683"/>
      <c r="E392" s="1683"/>
      <c r="F392" s="1683"/>
      <c r="G392" s="1683"/>
      <c r="H392" s="1683"/>
      <c r="I392" s="1683"/>
      <c r="J392" s="1683"/>
      <c r="K392" s="1683"/>
      <c r="L392" s="1683"/>
      <c r="M392" s="1683"/>
      <c r="N392" s="1683"/>
      <c r="O392" s="1683"/>
    </row>
    <row r="393" spans="1:16" x14ac:dyDescent="0.2">
      <c r="A393" s="1683"/>
      <c r="B393" s="1683"/>
      <c r="C393" s="1683"/>
      <c r="D393" s="1683"/>
      <c r="E393" s="1683"/>
      <c r="F393" s="1683"/>
      <c r="G393" s="1683"/>
      <c r="H393" s="1683"/>
      <c r="I393" s="1683"/>
      <c r="J393" s="1683"/>
      <c r="K393" s="1683"/>
      <c r="L393" s="1683"/>
      <c r="M393" s="1683"/>
      <c r="N393" s="1683"/>
      <c r="O393" s="1683"/>
    </row>
    <row r="394" spans="1:16" x14ac:dyDescent="0.2">
      <c r="A394" s="1683"/>
      <c r="B394" s="1683"/>
      <c r="C394" s="1683"/>
      <c r="D394" s="1683"/>
      <c r="E394" s="1683"/>
      <c r="F394" s="1683"/>
      <c r="G394" s="1683"/>
      <c r="H394" s="1683"/>
      <c r="I394" s="1683"/>
      <c r="J394" s="1683"/>
      <c r="K394" s="1683"/>
      <c r="L394" s="1683"/>
      <c r="M394" s="1683"/>
      <c r="N394" s="1683"/>
      <c r="O394" s="1683"/>
    </row>
    <row r="395" spans="1:16" x14ac:dyDescent="0.2">
      <c r="A395" s="1683"/>
      <c r="B395" s="1683"/>
      <c r="C395" s="1683"/>
      <c r="D395" s="1683"/>
      <c r="E395" s="1683"/>
      <c r="F395" s="1683"/>
      <c r="G395" s="1683"/>
      <c r="H395" s="1683"/>
      <c r="I395" s="1683"/>
      <c r="J395" s="1683"/>
      <c r="K395" s="1683"/>
      <c r="L395" s="1683"/>
      <c r="M395" s="1683"/>
      <c r="N395" s="1683"/>
      <c r="O395" s="1683"/>
    </row>
    <row r="396" spans="1:16" x14ac:dyDescent="0.2">
      <c r="A396" s="1683"/>
      <c r="B396" s="1683"/>
      <c r="C396" s="1683"/>
      <c r="D396" s="1683"/>
      <c r="E396" s="1683"/>
      <c r="F396" s="1683"/>
      <c r="G396" s="1683"/>
      <c r="H396" s="1683"/>
      <c r="I396" s="1683"/>
      <c r="J396" s="1683"/>
      <c r="K396" s="1683"/>
      <c r="L396" s="1683"/>
      <c r="M396" s="1683"/>
      <c r="N396" s="1683"/>
      <c r="O396" s="1683"/>
    </row>
    <row r="397" spans="1:16" x14ac:dyDescent="0.2">
      <c r="A397" s="1683"/>
      <c r="B397" s="1683"/>
      <c r="C397" s="1683"/>
      <c r="D397" s="1683"/>
      <c r="E397" s="1683"/>
      <c r="F397" s="1683"/>
      <c r="G397" s="1683"/>
      <c r="H397" s="1683"/>
      <c r="I397" s="1683"/>
      <c r="J397" s="1683"/>
      <c r="K397" s="1683"/>
      <c r="L397" s="1683"/>
      <c r="M397" s="1683"/>
      <c r="N397" s="1683"/>
      <c r="O397" s="1683"/>
    </row>
    <row r="398" spans="1:16" x14ac:dyDescent="0.2">
      <c r="A398" s="1683"/>
      <c r="B398" s="1683"/>
      <c r="C398" s="1683"/>
      <c r="D398" s="1683"/>
      <c r="E398" s="1683"/>
      <c r="F398" s="1683"/>
      <c r="G398" s="1683"/>
      <c r="H398" s="1683"/>
      <c r="I398" s="1683"/>
      <c r="J398" s="1683"/>
      <c r="K398" s="1683"/>
      <c r="L398" s="1683"/>
      <c r="M398" s="1683"/>
      <c r="N398" s="1683"/>
      <c r="O398" s="1683"/>
    </row>
    <row r="399" spans="1:16" x14ac:dyDescent="0.2">
      <c r="A399" s="1683"/>
      <c r="B399" s="1683"/>
      <c r="C399" s="1683"/>
      <c r="D399" s="1683"/>
      <c r="E399" s="1683"/>
      <c r="F399" s="1683"/>
      <c r="G399" s="1683"/>
      <c r="H399" s="1683"/>
      <c r="I399" s="1683"/>
      <c r="J399" s="1683"/>
      <c r="K399" s="1683"/>
      <c r="L399" s="1683"/>
      <c r="M399" s="1683"/>
      <c r="N399" s="1683"/>
      <c r="O399" s="1683"/>
    </row>
    <row r="400" spans="1:16" x14ac:dyDescent="0.2">
      <c r="A400" s="1683"/>
      <c r="B400" s="1683"/>
      <c r="C400" s="1683"/>
      <c r="D400" s="1683"/>
      <c r="E400" s="1683"/>
      <c r="F400" s="1683"/>
      <c r="G400" s="1683"/>
      <c r="H400" s="1683"/>
      <c r="I400" s="1683"/>
      <c r="J400" s="1683"/>
      <c r="K400" s="1683"/>
      <c r="L400" s="1683"/>
      <c r="M400" s="1683"/>
      <c r="N400" s="1683"/>
      <c r="O400" s="1683"/>
    </row>
    <row r="401" spans="1:15" x14ac:dyDescent="0.2">
      <c r="A401" s="1683"/>
      <c r="B401" s="1683"/>
      <c r="C401" s="1683"/>
      <c r="D401" s="1683"/>
      <c r="E401" s="1683"/>
      <c r="F401" s="1683"/>
      <c r="G401" s="1683"/>
      <c r="H401" s="1683"/>
      <c r="I401" s="1683"/>
      <c r="J401" s="1683"/>
      <c r="K401" s="1683"/>
      <c r="L401" s="1683"/>
      <c r="M401" s="1683"/>
      <c r="N401" s="1683"/>
      <c r="O401" s="1683"/>
    </row>
    <row r="402" spans="1:15" x14ac:dyDescent="0.2">
      <c r="A402" s="1683"/>
      <c r="B402" s="1683"/>
      <c r="C402" s="1683"/>
      <c r="D402" s="1683"/>
      <c r="E402" s="1683"/>
      <c r="F402" s="1683"/>
      <c r="G402" s="1683"/>
      <c r="H402" s="1683"/>
      <c r="I402" s="1683"/>
      <c r="J402" s="1683"/>
      <c r="K402" s="1683"/>
      <c r="L402" s="1683"/>
      <c r="M402" s="1683"/>
      <c r="N402" s="1683"/>
      <c r="O402" s="1683"/>
    </row>
    <row r="403" spans="1:15" x14ac:dyDescent="0.2">
      <c r="A403" s="1683"/>
      <c r="B403" s="1683"/>
      <c r="C403" s="1683"/>
      <c r="D403" s="1683"/>
      <c r="E403" s="1683"/>
      <c r="F403" s="1683"/>
      <c r="G403" s="1683"/>
      <c r="H403" s="1683"/>
      <c r="I403" s="1683"/>
      <c r="J403" s="1683"/>
      <c r="K403" s="1683"/>
      <c r="L403" s="1683"/>
      <c r="M403" s="1683"/>
      <c r="N403" s="1683"/>
      <c r="O403" s="1683"/>
    </row>
    <row r="404" spans="1:15" x14ac:dyDescent="0.2">
      <c r="A404" s="1683"/>
      <c r="B404" s="1683"/>
      <c r="C404" s="1683"/>
      <c r="D404" s="1683"/>
      <c r="E404" s="1683"/>
      <c r="F404" s="1683"/>
      <c r="G404" s="1683"/>
      <c r="H404" s="1683"/>
      <c r="I404" s="1683"/>
      <c r="J404" s="1683"/>
      <c r="K404" s="1683"/>
      <c r="L404" s="1683"/>
      <c r="M404" s="1683"/>
      <c r="N404" s="1683"/>
      <c r="O404" s="1683"/>
    </row>
    <row r="405" spans="1:15" x14ac:dyDescent="0.2">
      <c r="A405" s="1683"/>
      <c r="B405" s="1683"/>
      <c r="C405" s="1683"/>
      <c r="D405" s="1683"/>
      <c r="E405" s="1683"/>
      <c r="F405" s="1683"/>
      <c r="G405" s="1683"/>
      <c r="H405" s="1683"/>
      <c r="I405" s="1683"/>
      <c r="J405" s="1683"/>
      <c r="K405" s="1683"/>
      <c r="L405" s="1683"/>
      <c r="M405" s="1683"/>
      <c r="N405" s="1683"/>
      <c r="O405" s="1683"/>
    </row>
  </sheetData>
  <phoneticPr fontId="20" type="noConversion"/>
  <pageMargins left="0.74803149606299213" right="0.43307086614173229" top="0.59055118110236227" bottom="0.98425196850393704" header="0.51181102362204722" footer="0.51181102362204722"/>
  <pageSetup paperSize="9" fitToWidth="2" fitToHeight="2" orientation="portrait" r:id="rId1"/>
  <headerFooter alignWithMargins="0"/>
  <cellWatches>
    <cellWatch r="F75"/>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333</vt:i4>
      </vt:variant>
    </vt:vector>
  </HeadingPairs>
  <TitlesOfParts>
    <vt:vector size="340" baseType="lpstr">
      <vt:lpstr>РАСХОДОМЕР_US-800</vt:lpstr>
      <vt:lpstr>КОМПЛЕКТУЮЩ_US800-1Х,2Х,3Х </vt:lpstr>
      <vt:lpstr>УПР_и_ДАТЧИКИ ПЭП</vt:lpstr>
      <vt:lpstr>ТЕПЛОСЧЕТЧИК_ЭНКОНТ</vt:lpstr>
      <vt:lpstr>КОМПЛЕКТУЮЩ_ЭНКОНТ</vt:lpstr>
      <vt:lpstr>3</vt:lpstr>
      <vt:lpstr>2</vt:lpstr>
      <vt:lpstr>_ip68</vt:lpstr>
      <vt:lpstr>_КСС2Э</vt:lpstr>
      <vt:lpstr>_КСС4Э</vt:lpstr>
      <vt:lpstr>_нестанд</vt:lpstr>
      <vt:lpstr>_ПМЗ</vt:lpstr>
      <vt:lpstr>GPRS_терм</vt:lpstr>
      <vt:lpstr>АС801</vt:lpstr>
      <vt:lpstr>АС803</vt:lpstr>
      <vt:lpstr>АС805</vt:lpstr>
      <vt:lpstr>БИ</vt:lpstr>
      <vt:lpstr>БИ_номер</vt:lpstr>
      <vt:lpstr>БИ_цена</vt:lpstr>
      <vt:lpstr>БИ40</vt:lpstr>
      <vt:lpstr>БИ42</vt:lpstr>
      <vt:lpstr>выхЭБ</vt:lpstr>
      <vt:lpstr>выхЭБ_цена</vt:lpstr>
      <vt:lpstr>габ_100</vt:lpstr>
      <vt:lpstr>габ_1000</vt:lpstr>
      <vt:lpstr>габ_1200</vt:lpstr>
      <vt:lpstr>габ_1400</vt:lpstr>
      <vt:lpstr>габ_15</vt:lpstr>
      <vt:lpstr>габ_150</vt:lpstr>
      <vt:lpstr>габ_200</vt:lpstr>
      <vt:lpstr>габ_25</vt:lpstr>
      <vt:lpstr>габ_250</vt:lpstr>
      <vt:lpstr>габ_300</vt:lpstr>
      <vt:lpstr>габ_32</vt:lpstr>
      <vt:lpstr>габ_350</vt:lpstr>
      <vt:lpstr>габ_40</vt:lpstr>
      <vt:lpstr>габ_400</vt:lpstr>
      <vt:lpstr>габ_50</vt:lpstr>
      <vt:lpstr>габ_500</vt:lpstr>
      <vt:lpstr>габ_600</vt:lpstr>
      <vt:lpstr>габ_65</vt:lpstr>
      <vt:lpstr>габ_700</vt:lpstr>
      <vt:lpstr>габ_80</vt:lpstr>
      <vt:lpstr>габ_800</vt:lpstr>
      <vt:lpstr>габ_900</vt:lpstr>
      <vt:lpstr>жидк</vt:lpstr>
      <vt:lpstr>жидк_номер</vt:lpstr>
      <vt:lpstr>жидк_цена</vt:lpstr>
      <vt:lpstr>ИБ2</vt:lpstr>
      <vt:lpstr>ИБ4</vt:lpstr>
      <vt:lpstr>КММ</vt:lpstr>
      <vt:lpstr>КМЧ800_1</vt:lpstr>
      <vt:lpstr>КМЧ800_1гильз</vt:lpstr>
      <vt:lpstr>КМЧ800_1нерж</vt:lpstr>
      <vt:lpstr>КМЧ800_1с</vt:lpstr>
      <vt:lpstr>КМЧ800_1ШК</vt:lpstr>
      <vt:lpstr>КМЧ800_2</vt:lpstr>
      <vt:lpstr>КМЧ800_2гильз</vt:lpstr>
      <vt:lpstr>КМЧ800_2нерж</vt:lpstr>
      <vt:lpstr>КМЧ800_2с</vt:lpstr>
      <vt:lpstr>КМЧ800_2ШК</vt:lpstr>
      <vt:lpstr>Конверт_Ethernet</vt:lpstr>
      <vt:lpstr>Конверт_RS232</vt:lpstr>
      <vt:lpstr>Конверт_USB</vt:lpstr>
      <vt:lpstr>КОФ_100</vt:lpstr>
      <vt:lpstr>КОФ_1000</vt:lpstr>
      <vt:lpstr>КОФ_1200</vt:lpstr>
      <vt:lpstr>КОФ_1400</vt:lpstr>
      <vt:lpstr>КОФ_15</vt:lpstr>
      <vt:lpstr>КОФ_150</vt:lpstr>
      <vt:lpstr>КОФ_200</vt:lpstr>
      <vt:lpstr>КОФ_25</vt:lpstr>
      <vt:lpstr>КОФ_250</vt:lpstr>
      <vt:lpstr>КОФ_300</vt:lpstr>
      <vt:lpstr>КОФ_32</vt:lpstr>
      <vt:lpstr>КОФ_350</vt:lpstr>
      <vt:lpstr>КОФ_40</vt:lpstr>
      <vt:lpstr>КОФ_400</vt:lpstr>
      <vt:lpstr>КОФ_50</vt:lpstr>
      <vt:lpstr>КОФ_500</vt:lpstr>
      <vt:lpstr>КОФ_600</vt:lpstr>
      <vt:lpstr>КОФ_65</vt:lpstr>
      <vt:lpstr>КОФ_700</vt:lpstr>
      <vt:lpstr>КОФ_80</vt:lpstr>
      <vt:lpstr>КОФ_800</vt:lpstr>
      <vt:lpstr>КОФ_900</vt:lpstr>
      <vt:lpstr>КСС2Э</vt:lpstr>
      <vt:lpstr>КСС4Э</vt:lpstr>
      <vt:lpstr>КУФ_БИ</vt:lpstr>
      <vt:lpstr>Кювета</vt:lpstr>
      <vt:lpstr>Модем_RS232</vt:lpstr>
      <vt:lpstr>Модем_RS485</vt:lpstr>
      <vt:lpstr>Модем_USB</vt:lpstr>
      <vt:lpstr>Нетбук</vt:lpstr>
      <vt:lpstr>номер_УПР1</vt:lpstr>
      <vt:lpstr>номер_УПР2</vt:lpstr>
      <vt:lpstr>номер_ЭБ1</vt:lpstr>
      <vt:lpstr>номер_ЭБ2</vt:lpstr>
      <vt:lpstr>номер_ЭБ3</vt:lpstr>
      <vt:lpstr>'2'!Область_печати</vt:lpstr>
      <vt:lpstr>'3'!Область_печати</vt:lpstr>
      <vt:lpstr>'КОМПЛЕКТУЮЩ_US800-1Х,2Х,3Х '!Область_печати</vt:lpstr>
      <vt:lpstr>КОМПЛЕКТУЮЩ_ЭНКОНТ!Область_печати</vt:lpstr>
      <vt:lpstr>'РАСХОДОМЕР_US-800'!Область_печати</vt:lpstr>
      <vt:lpstr>ТЕПЛОСЧЕТЧИК_ЭНКОНТ!Область_печати</vt:lpstr>
      <vt:lpstr>'УПР_и_ДАТЧИКИ ПЭП'!Область_печати</vt:lpstr>
      <vt:lpstr>опИБ</vt:lpstr>
      <vt:lpstr>опИБ_номер</vt:lpstr>
      <vt:lpstr>опИБ_цена</vt:lpstr>
      <vt:lpstr>Опц_1236В</vt:lpstr>
      <vt:lpstr>Опц_200</vt:lpstr>
      <vt:lpstr>Опц_200_68</vt:lpstr>
      <vt:lpstr>Опц_200_IP68</vt:lpstr>
      <vt:lpstr>Опц_220</vt:lpstr>
      <vt:lpstr>Опц_24ИБП</vt:lpstr>
      <vt:lpstr>Опц_42</vt:lpstr>
      <vt:lpstr>Опц_42_ИБ</vt:lpstr>
      <vt:lpstr>Опц_42RS485</vt:lpstr>
      <vt:lpstr>Опц_42реверс</vt:lpstr>
      <vt:lpstr>Опц_IP68</vt:lpstr>
      <vt:lpstr>Опц_IP68У</vt:lpstr>
      <vt:lpstr>Опц_IP68Ф</vt:lpstr>
      <vt:lpstr>Опц_RS485</vt:lpstr>
      <vt:lpstr>Опц_USB</vt:lpstr>
      <vt:lpstr>Опц_вх42</vt:lpstr>
      <vt:lpstr>Опц_гильзПЭП</vt:lpstr>
      <vt:lpstr>Опц_давлен</vt:lpstr>
      <vt:lpstr>Опц_дозир</vt:lpstr>
      <vt:lpstr>Опц_ИБП_БИ</vt:lpstr>
      <vt:lpstr>Опц_ИБП_ИБ</vt:lpstr>
      <vt:lpstr>Опц_ИБП_ЭБ</vt:lpstr>
      <vt:lpstr>Опц_нестандарт</vt:lpstr>
      <vt:lpstr>Опц_ПМЗ</vt:lpstr>
      <vt:lpstr>Опц_ПМЗ1</vt:lpstr>
      <vt:lpstr>Опц_ПМЗ2</vt:lpstr>
      <vt:lpstr>Опц_поверкаR</vt:lpstr>
      <vt:lpstr>Опц_повыш</vt:lpstr>
      <vt:lpstr>Опц_пониж</vt:lpstr>
      <vt:lpstr>Опц_ПП212</vt:lpstr>
      <vt:lpstr>Опц_ПП212_68</vt:lpstr>
      <vt:lpstr>Опц_ПЭПУ</vt:lpstr>
      <vt:lpstr>Опц_ПЭПФ</vt:lpstr>
      <vt:lpstr>Опц_УВС</vt:lpstr>
      <vt:lpstr>Опц_УВС1</vt:lpstr>
      <vt:lpstr>Опц_ЧИ_ИБ</vt:lpstr>
      <vt:lpstr>Опц_ЧИ42_ИБ</vt:lpstr>
      <vt:lpstr>Опц_Чиреверс</vt:lpstr>
      <vt:lpstr>Опц_ШК</vt:lpstr>
      <vt:lpstr>опцУПР1</vt:lpstr>
      <vt:lpstr>опцУПР1_номер</vt:lpstr>
      <vt:lpstr>опцУПР1_цена</vt:lpstr>
      <vt:lpstr>опцЭБ1_номер</vt:lpstr>
      <vt:lpstr>ПВС1</vt:lpstr>
      <vt:lpstr>ПВС2</vt:lpstr>
      <vt:lpstr>ПД</vt:lpstr>
      <vt:lpstr>ПД_асс</vt:lpstr>
      <vt:lpstr>ПД_колво</vt:lpstr>
      <vt:lpstr>ПД_номер</vt:lpstr>
      <vt:lpstr>ПД_цена</vt:lpstr>
      <vt:lpstr>ПМЗ</vt:lpstr>
      <vt:lpstr>по_запросу</vt:lpstr>
      <vt:lpstr>ПП212</vt:lpstr>
      <vt:lpstr>ПП212_68</vt:lpstr>
      <vt:lpstr>ПЭП3_200</vt:lpstr>
      <vt:lpstr>ПЭП3_200_68</vt:lpstr>
      <vt:lpstr>ПЭП3_220</vt:lpstr>
      <vt:lpstr>ПЭП34</vt:lpstr>
      <vt:lpstr>ПЭП34IP68</vt:lpstr>
      <vt:lpstr>ПЭП34IP68У</vt:lpstr>
      <vt:lpstr>ПЭП34с</vt:lpstr>
      <vt:lpstr>ПЭП34У</vt:lpstr>
      <vt:lpstr>ПЭП3Ф</vt:lpstr>
      <vt:lpstr>ПЭП3ФIP68</vt:lpstr>
      <vt:lpstr>ПЭП6_200</vt:lpstr>
      <vt:lpstr>ПЭП6_200_68</vt:lpstr>
      <vt:lpstr>ПЭП6_220</vt:lpstr>
      <vt:lpstr>ПЭП64</vt:lpstr>
      <vt:lpstr>ПЭП64IP68</vt:lpstr>
      <vt:lpstr>ПЭП64IP68У</vt:lpstr>
      <vt:lpstr>ПЭП64У</vt:lpstr>
      <vt:lpstr>ПЭП6Ф</vt:lpstr>
      <vt:lpstr>Репит_RS485</vt:lpstr>
      <vt:lpstr>РК</vt:lpstr>
      <vt:lpstr>РК_БИ</vt:lpstr>
      <vt:lpstr>РК_колво</vt:lpstr>
      <vt:lpstr>РК_номер</vt:lpstr>
      <vt:lpstr>РК_цена</vt:lpstr>
      <vt:lpstr>РК50</vt:lpstr>
      <vt:lpstr>список_УПР1</vt:lpstr>
      <vt:lpstr>список_УПР2</vt:lpstr>
      <vt:lpstr>список_ЭБ1</vt:lpstr>
      <vt:lpstr>список_ЭБ2</vt:lpstr>
      <vt:lpstr>список_ЭБ3</vt:lpstr>
      <vt:lpstr>ТС</vt:lpstr>
      <vt:lpstr>ТС_асс</vt:lpstr>
      <vt:lpstr>ТС_номер</vt:lpstr>
      <vt:lpstr>ТС1</vt:lpstr>
      <vt:lpstr>ТС1_цена</vt:lpstr>
      <vt:lpstr>ТС2</vt:lpstr>
      <vt:lpstr>УПР_015РГ1</vt:lpstr>
      <vt:lpstr>УПР_015ФГ1</vt:lpstr>
      <vt:lpstr>УПР_025РГ1</vt:lpstr>
      <vt:lpstr>УПР_025ФГ1</vt:lpstr>
      <vt:lpstr>УПР_032РГ1</vt:lpstr>
      <vt:lpstr>УПР_032ФГ1</vt:lpstr>
      <vt:lpstr>УПР_040ФГ1</vt:lpstr>
      <vt:lpstr>УПР_050ФГ1</vt:lpstr>
      <vt:lpstr>УПР_050ФГ2</vt:lpstr>
      <vt:lpstr>УПР_065ФГ1</vt:lpstr>
      <vt:lpstr>УПР_065ФГ2</vt:lpstr>
      <vt:lpstr>УПР_080ФГ1</vt:lpstr>
      <vt:lpstr>УПР_080ФГ2</vt:lpstr>
      <vt:lpstr>УПР_1000БФСТ1</vt:lpstr>
      <vt:lpstr>УПР_1000БФСТ2</vt:lpstr>
      <vt:lpstr>УПР_1000ФГ1</vt:lpstr>
      <vt:lpstr>УПР_1000ФГ2</vt:lpstr>
      <vt:lpstr>УПР_1000ФСТ1</vt:lpstr>
      <vt:lpstr>УПР_1000ФСТ2</vt:lpstr>
      <vt:lpstr>УПР_100ФГ1</vt:lpstr>
      <vt:lpstr>УПР_100ФГ2</vt:lpstr>
      <vt:lpstr>УПР_1200БФСТ1</vt:lpstr>
      <vt:lpstr>УПР_1200БФСТ2</vt:lpstr>
      <vt:lpstr>УПР_1200ФСТ1</vt:lpstr>
      <vt:lpstr>УПР_1200ФСТ2</vt:lpstr>
      <vt:lpstr>УПР_1400БФСТ1</vt:lpstr>
      <vt:lpstr>УПР_1400БФСТ2</vt:lpstr>
      <vt:lpstr>УПР_1400ФСТ1</vt:lpstr>
      <vt:lpstr>УПР_1400ФСТ2</vt:lpstr>
      <vt:lpstr>УПР_150БФСТ1</vt:lpstr>
      <vt:lpstr>УПР_150БФСТ2</vt:lpstr>
      <vt:lpstr>УПР_150ФГ1</vt:lpstr>
      <vt:lpstr>УПР_150ФГ2</vt:lpstr>
      <vt:lpstr>УПР_150ФСТ1</vt:lpstr>
      <vt:lpstr>УПР_150ФСТ2</vt:lpstr>
      <vt:lpstr>УПР_200БФСТ1</vt:lpstr>
      <vt:lpstr>УПР_200БФСТ2</vt:lpstr>
      <vt:lpstr>УПР_200ФГ1</vt:lpstr>
      <vt:lpstr>УПР_200ФГ2</vt:lpstr>
      <vt:lpstr>УПР_200ФСТ1</vt:lpstr>
      <vt:lpstr>УПР_200ФСТ2</vt:lpstr>
      <vt:lpstr>УПР_250БФСТ1</vt:lpstr>
      <vt:lpstr>УПР_250БФСТ2</vt:lpstr>
      <vt:lpstr>УПР_250ФГ1</vt:lpstr>
      <vt:lpstr>УПР_250ФГ2</vt:lpstr>
      <vt:lpstr>УПР_250ФСТ1</vt:lpstr>
      <vt:lpstr>УПР_250ФСТ2</vt:lpstr>
      <vt:lpstr>УПР_300БФСТ1</vt:lpstr>
      <vt:lpstr>УПР_300БФСТ2</vt:lpstr>
      <vt:lpstr>УПР_300ФГ1</vt:lpstr>
      <vt:lpstr>УПР_300ФГ2</vt:lpstr>
      <vt:lpstr>УПР_300ФСТ1</vt:lpstr>
      <vt:lpstr>УПР_300ФСТ2</vt:lpstr>
      <vt:lpstr>УПР_350БФСТ1</vt:lpstr>
      <vt:lpstr>УПР_350БФСТ2</vt:lpstr>
      <vt:lpstr>УПР_350ФСТ1</vt:lpstr>
      <vt:lpstr>УПР_350ФСТ2</vt:lpstr>
      <vt:lpstr>УПР_400БФСТ1</vt:lpstr>
      <vt:lpstr>УПР_400БФСТ2</vt:lpstr>
      <vt:lpstr>УПР_400ФСТ1</vt:lpstr>
      <vt:lpstr>УПР_400ФСТ2</vt:lpstr>
      <vt:lpstr>УПР_500БФСТ1</vt:lpstr>
      <vt:lpstr>УПР_500БФСТ2</vt:lpstr>
      <vt:lpstr>УПР_500ФСТ1</vt:lpstr>
      <vt:lpstr>УПР_500ФСТ2</vt:lpstr>
      <vt:lpstr>УПР_600БФСТ1</vt:lpstr>
      <vt:lpstr>УПР_600БФСТ2</vt:lpstr>
      <vt:lpstr>УПР_600ФСТ1</vt:lpstr>
      <vt:lpstr>УПР_600ФСТ2</vt:lpstr>
      <vt:lpstr>УПР_700БФСТ1</vt:lpstr>
      <vt:lpstr>УПР_700БФСТ2</vt:lpstr>
      <vt:lpstr>УПР_700ФСТ1</vt:lpstr>
      <vt:lpstr>УПР_700ФСТ2</vt:lpstr>
      <vt:lpstr>УПР_800БФСТ1</vt:lpstr>
      <vt:lpstr>УПР_800БФСТ2</vt:lpstr>
      <vt:lpstr>УПР_800ФСТ1</vt:lpstr>
      <vt:lpstr>УПР_800ФСТ2</vt:lpstr>
      <vt:lpstr>УПР_900БФСТ1</vt:lpstr>
      <vt:lpstr>УПР_900БФСТ2</vt:lpstr>
      <vt:lpstr>УПР_900ФСТ1</vt:lpstr>
      <vt:lpstr>УПР_900ФСТ2</vt:lpstr>
      <vt:lpstr>упр_двухлуч1</vt:lpstr>
      <vt:lpstr>упр_двухлуч1_номер</vt:lpstr>
      <vt:lpstr>упр_двухлуч1_номер2</vt:lpstr>
      <vt:lpstr>упр_двухлуч1_цена</vt:lpstr>
      <vt:lpstr>упр_однолуч1</vt:lpstr>
      <vt:lpstr>упр_однолуч1_номер</vt:lpstr>
      <vt:lpstr>упр_однолуч1_номер2</vt:lpstr>
      <vt:lpstr>упр_однолуч1_цена</vt:lpstr>
      <vt:lpstr>УФ1_БИ</vt:lpstr>
      <vt:lpstr>УФ2_БИ</vt:lpstr>
      <vt:lpstr>фл_упр_двухлуч1_цена</vt:lpstr>
      <vt:lpstr>фл_упр_однолуч1_цена</vt:lpstr>
      <vt:lpstr>ФУТП</vt:lpstr>
      <vt:lpstr>цена_ЭБ1</vt:lpstr>
      <vt:lpstr>Цена_ЭБ2</vt:lpstr>
      <vt:lpstr>Цена_ЭБ3</vt:lpstr>
      <vt:lpstr>ЧИ_ИБ</vt:lpstr>
      <vt:lpstr>Шкаф_необогр</vt:lpstr>
      <vt:lpstr>Шкаф_обогр</vt:lpstr>
      <vt:lpstr>ЭБ10</vt:lpstr>
      <vt:lpstr>ЭБ11</vt:lpstr>
      <vt:lpstr>ЭБ12</vt:lpstr>
      <vt:lpstr>ЭБ13</vt:lpstr>
      <vt:lpstr>ЭБ20</vt:lpstr>
      <vt:lpstr>ЭБ21</vt:lpstr>
      <vt:lpstr>ЭБ22</vt:lpstr>
      <vt:lpstr>ЭБ23</vt:lpstr>
      <vt:lpstr>ЭБ30</vt:lpstr>
      <vt:lpstr>ЭБ31</vt:lpstr>
      <vt:lpstr>ЭБ32</vt:lpstr>
      <vt:lpstr>ЭБ33</vt:lpstr>
      <vt:lpstr>Эбр_исп</vt:lpstr>
      <vt:lpstr>Эбр_номер</vt:lpstr>
      <vt:lpstr>Эбр_номер1</vt:lpstr>
      <vt:lpstr>Эбр_цен</vt:lpstr>
      <vt:lpstr>Эбр_цена</vt:lpstr>
      <vt:lpstr>ящ_100</vt:lpstr>
      <vt:lpstr>ящ_1000</vt:lpstr>
      <vt:lpstr>ящ_1200</vt:lpstr>
      <vt:lpstr>ящ_1400</vt:lpstr>
      <vt:lpstr>ящ_15</vt:lpstr>
      <vt:lpstr>ящ_150</vt:lpstr>
      <vt:lpstr>ящ_200</vt:lpstr>
      <vt:lpstr>ящ_25</vt:lpstr>
      <vt:lpstr>ящ_250</vt:lpstr>
      <vt:lpstr>ящ_300</vt:lpstr>
      <vt:lpstr>ящ_32</vt:lpstr>
      <vt:lpstr>ящ_350</vt:lpstr>
      <vt:lpstr>ящ_40</vt:lpstr>
      <vt:lpstr>ящ_400</vt:lpstr>
      <vt:lpstr>ящ_50</vt:lpstr>
      <vt:lpstr>ящ_500</vt:lpstr>
      <vt:lpstr>ящ_600</vt:lpstr>
      <vt:lpstr>ящ_65</vt:lpstr>
      <vt:lpstr>ящ_700</vt:lpstr>
      <vt:lpstr>ящ_80</vt:lpstr>
      <vt:lpstr>ящ_800</vt:lpstr>
      <vt:lpstr>ящ_900</vt:lpstr>
      <vt:lpstr>ящ_упр_двухлуч1_цена</vt:lpstr>
      <vt:lpstr>ящ_упр_однолуч1_цена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ЭЙ-СИ Электроникс. Прайс-лист расходомеры, теплосчетчики Эльконт, US800. Цена, стоимость, купить приборы учета. Продажа продукции производства завода-изготовителя AC Electronics, Санкт-Петербург. Дилер ГКНТ. Поставка Россия, Казахстан.</dc:title>
  <dc:subject>ЭЙ-СИ Электроникс. Прайс-лист расходомеры, теплосчетчики Эльконт, US800. Цена, стоимость, купить приборы учета. Продажа продукции производства завода-изготовителя AC Electronics, Санкт-Петербург. Дилер ГКНТ. Поставка Россия, Казахстан.</dc:subject>
  <dc:creator>http://encont.nt-rt.ru</dc:creator>
  <cp:lastModifiedBy>Home</cp:lastModifiedBy>
  <cp:lastPrinted>2021-09-02T12:11:25Z</cp:lastPrinted>
  <dcterms:created xsi:type="dcterms:W3CDTF">1998-11-01T16:53:16Z</dcterms:created>
  <dcterms:modified xsi:type="dcterms:W3CDTF">2023-08-02T09:14:55Z</dcterms:modified>
</cp:coreProperties>
</file>